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T:\Coronavirus\ARPA\"/>
    </mc:Choice>
  </mc:AlternateContent>
  <xr:revisionPtr revIDLastSave="0" documentId="8_{82697005-47EA-4708-9305-342BDB331F1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heet1" sheetId="1" r:id="rId1"/>
    <sheet name="as of 6-12-24" sheetId="2" r:id="rId2"/>
    <sheet name="as of 8-30-24" sheetId="3" r:id="rId3"/>
    <sheet name="9-16-24" sheetId="4" r:id="rId4"/>
    <sheet name="Curren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  <c r="D38" i="5"/>
  <c r="C38" i="5"/>
  <c r="B38" i="5"/>
  <c r="E38" i="5"/>
  <c r="D9" i="5"/>
  <c r="D6" i="5"/>
  <c r="C6" i="5"/>
  <c r="C7" i="5"/>
  <c r="D7" i="5" s="1"/>
  <c r="D17" i="5" s="1"/>
  <c r="B36" i="5"/>
  <c r="D35" i="5"/>
  <c r="C34" i="5"/>
  <c r="D34" i="5" s="1"/>
  <c r="C33" i="5"/>
  <c r="D33" i="5" s="1"/>
  <c r="C32" i="5"/>
  <c r="C36" i="5" s="1"/>
  <c r="C31" i="5"/>
  <c r="D31" i="5" s="1"/>
  <c r="D30" i="5"/>
  <c r="D29" i="5"/>
  <c r="D24" i="5"/>
  <c r="C24" i="5"/>
  <c r="C20" i="5"/>
  <c r="D20" i="5" s="1"/>
  <c r="B17" i="5"/>
  <c r="D16" i="5"/>
  <c r="C15" i="5"/>
  <c r="D15" i="5" s="1"/>
  <c r="D14" i="5"/>
  <c r="E14" i="5" s="1"/>
  <c r="C14" i="5"/>
  <c r="C13" i="5"/>
  <c r="D13" i="5" s="1"/>
  <c r="D12" i="5"/>
  <c r="C11" i="5"/>
  <c r="D11" i="5" s="1"/>
  <c r="E11" i="5" s="1"/>
  <c r="D10" i="5"/>
  <c r="C9" i="5"/>
  <c r="C8" i="5"/>
  <c r="D8" i="5" s="1"/>
  <c r="D5" i="5"/>
  <c r="D4" i="5"/>
  <c r="E17" i="4"/>
  <c r="E42" i="4" s="1"/>
  <c r="E14" i="4"/>
  <c r="E11" i="4"/>
  <c r="C6" i="4"/>
  <c r="C11" i="4"/>
  <c r="B17" i="4"/>
  <c r="B36" i="4"/>
  <c r="D5" i="4"/>
  <c r="C20" i="4"/>
  <c r="D20" i="4" s="1"/>
  <c r="C14" i="4"/>
  <c r="C15" i="4"/>
  <c r="D15" i="4" s="1"/>
  <c r="D16" i="4"/>
  <c r="D11" i="4"/>
  <c r="D10" i="4"/>
  <c r="D12" i="4"/>
  <c r="D4" i="4"/>
  <c r="C9" i="4"/>
  <c r="C13" i="4"/>
  <c r="D13" i="4" s="1"/>
  <c r="D29" i="4"/>
  <c r="C24" i="4"/>
  <c r="D24" i="4" s="1"/>
  <c r="C32" i="4"/>
  <c r="D32" i="4" s="1"/>
  <c r="C33" i="4"/>
  <c r="D33" i="4" s="1"/>
  <c r="D35" i="4"/>
  <c r="C7" i="4"/>
  <c r="D7" i="4" s="1"/>
  <c r="C8" i="4"/>
  <c r="D8" i="4" s="1"/>
  <c r="D30" i="4"/>
  <c r="C34" i="4"/>
  <c r="D34" i="4" s="1"/>
  <c r="C31" i="4"/>
  <c r="D31" i="4" s="1"/>
  <c r="C4" i="3"/>
  <c r="D4" i="3" s="1"/>
  <c r="C19" i="3"/>
  <c r="B48" i="3"/>
  <c r="B44" i="3"/>
  <c r="C29" i="3"/>
  <c r="C35" i="3"/>
  <c r="D35" i="3" s="1"/>
  <c r="C26" i="3"/>
  <c r="D26" i="3" s="1"/>
  <c r="C24" i="3"/>
  <c r="C16" i="3"/>
  <c r="D16" i="3" s="1"/>
  <c r="C5" i="3"/>
  <c r="D41" i="3"/>
  <c r="C41" i="3"/>
  <c r="C36" i="3"/>
  <c r="D36" i="3" s="1"/>
  <c r="D34" i="3"/>
  <c r="C33" i="3"/>
  <c r="D33" i="3" s="1"/>
  <c r="D32" i="3"/>
  <c r="D31" i="3"/>
  <c r="D30" i="3"/>
  <c r="D29" i="3"/>
  <c r="D25" i="3"/>
  <c r="D24" i="3"/>
  <c r="D23" i="3"/>
  <c r="C23" i="3"/>
  <c r="D20" i="3"/>
  <c r="C20" i="3"/>
  <c r="D19" i="3"/>
  <c r="D18" i="3"/>
  <c r="C17" i="3"/>
  <c r="D17" i="3" s="1"/>
  <c r="D15" i="3"/>
  <c r="D9" i="3"/>
  <c r="D5" i="3"/>
  <c r="F47" i="1"/>
  <c r="B44" i="2"/>
  <c r="C19" i="2"/>
  <c r="D19" i="2" s="1"/>
  <c r="C16" i="2"/>
  <c r="C26" i="2"/>
  <c r="D26" i="2" s="1"/>
  <c r="C29" i="2"/>
  <c r="C36" i="2"/>
  <c r="D8" i="2"/>
  <c r="D15" i="2"/>
  <c r="D18" i="2"/>
  <c r="D25" i="2"/>
  <c r="D30" i="2"/>
  <c r="D31" i="2"/>
  <c r="D32" i="2"/>
  <c r="D33" i="2"/>
  <c r="D34" i="2"/>
  <c r="D35" i="2"/>
  <c r="D36" i="2"/>
  <c r="C41" i="2"/>
  <c r="D41" i="2" s="1"/>
  <c r="C33" i="2"/>
  <c r="C24" i="2"/>
  <c r="D24" i="2" s="1"/>
  <c r="C23" i="2"/>
  <c r="D23" i="2" s="1"/>
  <c r="C17" i="2"/>
  <c r="D17" i="2" s="1"/>
  <c r="C20" i="2"/>
  <c r="D20" i="2" s="1"/>
  <c r="C4" i="2"/>
  <c r="D4" i="2" s="1"/>
  <c r="D29" i="2"/>
  <c r="I16" i="1"/>
  <c r="C5" i="2"/>
  <c r="D5" i="2" s="1"/>
  <c r="D16" i="2"/>
  <c r="E17" i="5" l="1"/>
  <c r="E42" i="5" s="1"/>
  <c r="B42" i="5"/>
  <c r="C17" i="5"/>
  <c r="C42" i="5" s="1"/>
  <c r="D32" i="5"/>
  <c r="D36" i="5" s="1"/>
  <c r="B38" i="4"/>
  <c r="B42" i="4"/>
  <c r="D36" i="4"/>
  <c r="C17" i="4"/>
  <c r="C36" i="4"/>
  <c r="D14" i="4"/>
  <c r="C44" i="3"/>
  <c r="C48" i="3" s="1"/>
  <c r="C44" i="2"/>
  <c r="C48" i="2" s="1"/>
  <c r="M39" i="1"/>
  <c r="K4" i="1"/>
  <c r="K39" i="1" s="1"/>
  <c r="K18" i="1"/>
  <c r="K15" i="1"/>
  <c r="K5" i="1"/>
  <c r="J60" i="1"/>
  <c r="J54" i="1"/>
  <c r="I18" i="1"/>
  <c r="J18" i="1" s="1"/>
  <c r="J38" i="1"/>
  <c r="I43" i="1"/>
  <c r="J43" i="1" s="1"/>
  <c r="I15" i="1"/>
  <c r="I4" i="1"/>
  <c r="J4" i="1" s="1"/>
  <c r="J36" i="1"/>
  <c r="J37" i="1"/>
  <c r="J6" i="1"/>
  <c r="J7" i="1"/>
  <c r="J8" i="1"/>
  <c r="J10" i="1"/>
  <c r="J11" i="1"/>
  <c r="J12" i="1"/>
  <c r="J13" i="1"/>
  <c r="J14" i="1"/>
  <c r="J17" i="1"/>
  <c r="J42" i="1"/>
  <c r="J21" i="1"/>
  <c r="J22" i="1"/>
  <c r="J25" i="1"/>
  <c r="J26" i="1"/>
  <c r="J28" i="1"/>
  <c r="J29" i="1"/>
  <c r="J31" i="1"/>
  <c r="J32" i="1"/>
  <c r="J33" i="1"/>
  <c r="J34" i="1"/>
  <c r="J45" i="1"/>
  <c r="J46" i="1"/>
  <c r="I9" i="1"/>
  <c r="J9" i="1" s="1"/>
  <c r="J16" i="1"/>
  <c r="I5" i="1"/>
  <c r="I39" i="1" s="1"/>
  <c r="I47" i="1" s="1"/>
  <c r="I19" i="1"/>
  <c r="J19" i="1" s="1"/>
  <c r="I27" i="1"/>
  <c r="J27" i="1" s="1"/>
  <c r="I24" i="1"/>
  <c r="J24" i="1" s="1"/>
  <c r="I35" i="1"/>
  <c r="J35" i="1" s="1"/>
  <c r="I23" i="1"/>
  <c r="J23" i="1" s="1"/>
  <c r="I30" i="1"/>
  <c r="J30" i="1" s="1"/>
  <c r="C38" i="4" l="1"/>
  <c r="C42" i="4" s="1"/>
  <c r="D17" i="4"/>
  <c r="D38" i="4" s="1"/>
  <c r="D44" i="3"/>
  <c r="D44" i="2"/>
  <c r="B48" i="2"/>
  <c r="K48" i="1"/>
  <c r="K47" i="1"/>
  <c r="G15" i="1"/>
  <c r="J15" i="1" s="1"/>
  <c r="G5" i="1"/>
  <c r="G20" i="1" s="1"/>
  <c r="B47" i="1"/>
  <c r="E38" i="4" l="1"/>
  <c r="J5" i="1"/>
  <c r="I48" i="1"/>
  <c r="J48" i="1" s="1"/>
  <c r="L47" i="1" l="1"/>
  <c r="J39" i="1"/>
  <c r="J47" i="1" s="1"/>
  <c r="L48" i="1"/>
  <c r="J56" i="1"/>
</calcChain>
</file>

<file path=xl/sharedStrings.xml><?xml version="1.0" encoding="utf-8"?>
<sst xmlns="http://schemas.openxmlformats.org/spreadsheetml/2006/main" count="288" uniqueCount="129">
  <si>
    <t>Council Approved</t>
  </si>
  <si>
    <t>Project</t>
  </si>
  <si>
    <t>COPS (town Match)(87250 +2%)</t>
  </si>
  <si>
    <t>Police Radios (cap trfr)(CIP POL #3)</t>
  </si>
  <si>
    <t>IT Computers (cap trfr)( CIP IT#1)</t>
  </si>
  <si>
    <t>Beaver River Park Equipment (cap trfr)(CIP Park#1)</t>
  </si>
  <si>
    <t>Generators Town Hall (CIP DPW #2)</t>
  </si>
  <si>
    <t>Police Station Renovations (85% town match  Grant Total project $190000)</t>
  </si>
  <si>
    <t>Dog Park (CIP Parks #2)(match with funds or in-kind?)</t>
  </si>
  <si>
    <t>Wood River Health</t>
  </si>
  <si>
    <t>iParametrics Consulting for Grant Administration</t>
  </si>
  <si>
    <t>SAFE Project for Richmond School</t>
  </si>
  <si>
    <t>Maddie Potts Foundation (equipment)</t>
  </si>
  <si>
    <t>Chlorination System (CIP water)</t>
  </si>
  <si>
    <t>FY23 Budget</t>
  </si>
  <si>
    <t>STATUS</t>
  </si>
  <si>
    <t>Water Line Richmond Town Hall connection</t>
  </si>
  <si>
    <t>Total Projects</t>
  </si>
  <si>
    <t xml:space="preserve">Total ARPA Funding </t>
  </si>
  <si>
    <t>Status</t>
  </si>
  <si>
    <t>contract</t>
  </si>
  <si>
    <t>American Rescue Funds Town Council Approvals and Revised Status pending</t>
  </si>
  <si>
    <t>date</t>
  </si>
  <si>
    <t>revised to match of $40,500</t>
  </si>
  <si>
    <t>updated</t>
  </si>
  <si>
    <t>check cut COMPLETE</t>
  </si>
  <si>
    <t>paid to date</t>
  </si>
  <si>
    <t>signed agreement</t>
  </si>
  <si>
    <t>Community Ambulance and Fire (allocated $26,500 each for equipment)</t>
  </si>
  <si>
    <t xml:space="preserve">Council approved </t>
  </si>
  <si>
    <t xml:space="preserve">Council meeting Dec 6 </t>
  </si>
  <si>
    <t>invoice received</t>
  </si>
  <si>
    <t>FY23 20K, FY24 25K, FY25 30K, FY26 10K</t>
  </si>
  <si>
    <t>FY23-25 approved 75K</t>
  </si>
  <si>
    <t>total requested</t>
  </si>
  <si>
    <t>No contract but match for Federal Grant</t>
  </si>
  <si>
    <t>Officer hired and this is match for Federal Grant</t>
  </si>
  <si>
    <t>agreements signed purchases pending (chariho purchasing town reimbursing)</t>
  </si>
  <si>
    <t>Health Care Advocate Richmond Police Department</t>
  </si>
  <si>
    <t>$20k in FY23; $25K proposed for FY24, other to be in Operating budget Process</t>
  </si>
  <si>
    <t>no contract as not bid yet</t>
  </si>
  <si>
    <t>balance to be used in FY24</t>
  </si>
  <si>
    <t>may be funds available TBD after reports to be filed with Federal Agencies</t>
  </si>
  <si>
    <t>in FY23 budget but not purchased yet</t>
  </si>
  <si>
    <t>Emergency Operation RADIO TOWER(Langevin FY23denied)FY24 Reed application</t>
  </si>
  <si>
    <t>signed agreements HVAMB paid $26,500 Ashaway pending $19135</t>
  </si>
  <si>
    <t>$75K in FY23 budget and Proposed for FY24 Hired Director in March 2023</t>
  </si>
  <si>
    <t>Fy23-fy25 funding paid thru dec 2022</t>
  </si>
  <si>
    <t>new agreement pending</t>
  </si>
  <si>
    <t xml:space="preserve">Surveyor </t>
  </si>
  <si>
    <t>Council Approved and pending</t>
  </si>
  <si>
    <t>Council approved contract with State signed $292660.50 plus engineer</t>
  </si>
  <si>
    <t>FY23-FY25 50K FY24 &amp; 25 no approval</t>
  </si>
  <si>
    <t>approved</t>
  </si>
  <si>
    <t xml:space="preserve">RICAN </t>
  </si>
  <si>
    <t>Balance</t>
  </si>
  <si>
    <t>hope valley ambulance</t>
  </si>
  <si>
    <t>Community Advocate Department (Admin.&amp; Operating)Human Services</t>
  </si>
  <si>
    <t>No contract but match for Federal Grant if needed</t>
  </si>
  <si>
    <t>ashaway ambulance</t>
  </si>
  <si>
    <t>richmond carolina fire</t>
  </si>
  <si>
    <t>ashaway fire</t>
  </si>
  <si>
    <t>no contract</t>
  </si>
  <si>
    <t>hope valley fire</t>
  </si>
  <si>
    <t>MARCH 31, 2023 REPORTING</t>
  </si>
  <si>
    <t>MARCH 31, 2023 REPORTING TOTALS GENERAL PROJECT #1</t>
  </si>
  <si>
    <t xml:space="preserve">MARCH 31, 2023 REPORTING TOTALS GENERAL PROJECT #2 Federal Grant Match </t>
  </si>
  <si>
    <t>paid since 3/31/23</t>
  </si>
  <si>
    <t>Small Business Loans</t>
  </si>
  <si>
    <t>Wyoming Design study</t>
  </si>
  <si>
    <t>allocated 7-18-2023</t>
  </si>
  <si>
    <t>bid and contract signed</t>
  </si>
  <si>
    <t>total to date 3/31/2024</t>
  </si>
  <si>
    <t>Town Hall Sign</t>
  </si>
  <si>
    <t>Town Hall renovation (carpets &amp; misc)</t>
  </si>
  <si>
    <t>march 19 2024</t>
  </si>
  <si>
    <t>march 5 2024</t>
  </si>
  <si>
    <t>Investment interest</t>
  </si>
  <si>
    <t>FY23</t>
  </si>
  <si>
    <t>FY22</t>
  </si>
  <si>
    <t>Total Interest</t>
  </si>
  <si>
    <t>Total account balance</t>
  </si>
  <si>
    <t>cash</t>
  </si>
  <si>
    <t>Share of account 1990 trfrd 4/2/2024</t>
  </si>
  <si>
    <t>FY24 to Feb Bank smt</t>
  </si>
  <si>
    <t>Obligated</t>
  </si>
  <si>
    <t>MARCH 31, 2024 REPORTING TOTALS GENERAL PROJECT #1</t>
  </si>
  <si>
    <t xml:space="preserve">4/1/23 to 3/31/24 </t>
  </si>
  <si>
    <t>RESERVED AFTER MARCH 31 2023</t>
  </si>
  <si>
    <t>Unreserved</t>
  </si>
  <si>
    <t>ask chief</t>
  </si>
  <si>
    <t>plus plumbing</t>
  </si>
  <si>
    <t>??</t>
  </si>
  <si>
    <t>reminder</t>
  </si>
  <si>
    <t>reminder?</t>
  </si>
  <si>
    <t>deallocate</t>
  </si>
  <si>
    <t>PENDING</t>
  </si>
  <si>
    <t xml:space="preserve">CHARIHO LITTLE LEAGUE </t>
  </si>
  <si>
    <t>council apprvd</t>
  </si>
  <si>
    <t>Project #1</t>
  </si>
  <si>
    <t xml:space="preserve">PROJECT #2 Federal Grant Match </t>
  </si>
  <si>
    <t>Available</t>
  </si>
  <si>
    <t>as of 6/30/24</t>
  </si>
  <si>
    <t>Police Station Renovations (85% town match  Grant Total project $190,000)</t>
  </si>
  <si>
    <t>COPS (town Match)(87,250 +2%)</t>
  </si>
  <si>
    <t>as of 8/30/24</t>
  </si>
  <si>
    <t>*Completed</t>
  </si>
  <si>
    <t>4-Log Chlorination System (CIP water)</t>
  </si>
  <si>
    <t>Unassigned</t>
  </si>
  <si>
    <t>Total available</t>
  </si>
  <si>
    <t>Maddie Potts Foundation (equipment)*</t>
  </si>
  <si>
    <t>Wood River Health*</t>
  </si>
  <si>
    <t>SAFE Project for Richmond School*</t>
  </si>
  <si>
    <t xml:space="preserve">RICAN* </t>
  </si>
  <si>
    <t>Community Ambulance and Fire (allocated $26,500 each for equipment)*</t>
  </si>
  <si>
    <t>Police Radios (cap trfr)(CIP POL #3)*</t>
  </si>
  <si>
    <t>Ashaway Fire (allocated $26,500 each for equipment)</t>
  </si>
  <si>
    <t>Totals</t>
  </si>
  <si>
    <t>Emergency Operation RADIO TOWER FY24 Reed application</t>
  </si>
  <si>
    <t>Unallocated</t>
  </si>
  <si>
    <t>Dog Park (CIP Parks #2)(match with funds or in-kind?)*</t>
  </si>
  <si>
    <t>Water Line Richmond Town Hall connection*</t>
  </si>
  <si>
    <t>Beaver River Park Equipment (cap trfr)(CIP Park#1)*</t>
  </si>
  <si>
    <t>Reappropriate</t>
  </si>
  <si>
    <t>as of 9/16/24</t>
  </si>
  <si>
    <t>Unallotted +</t>
  </si>
  <si>
    <t>reallocated</t>
  </si>
  <si>
    <t>as of current</t>
  </si>
  <si>
    <t>Reallocate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</si>
</sst>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164" fontId="2" fillId="0" borderId="0" xfId="1" applyNumberFormat="1" applyFont="1" applyAlignme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Alignment="1"/>
    <xf numFmtId="0" fontId="5" fillId="0" borderId="0" xfId="0" applyFont="1"/>
    <xf numFmtId="164" fontId="2" fillId="0" borderId="2" xfId="0" applyNumberFormat="1" applyFont="1" applyBorder="1"/>
    <xf numFmtId="14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6" fillId="0" borderId="0" xfId="0" applyFont="1"/>
    <xf numFmtId="0" fontId="7" fillId="0" borderId="0" xfId="0" applyFont="1"/>
    <xf numFmtId="2" fontId="2" fillId="0" borderId="0" xfId="0" applyNumberFormat="1" applyFont="1"/>
    <xf numFmtId="2" fontId="4" fillId="0" borderId="0" xfId="1" applyNumberFormat="1" applyFont="1" applyFill="1" applyAlignment="1"/>
    <xf numFmtId="2" fontId="4" fillId="0" borderId="3" xfId="1" applyNumberFormat="1" applyFont="1" applyFill="1" applyBorder="1" applyAlignment="1"/>
    <xf numFmtId="2" fontId="4" fillId="0" borderId="0" xfId="1" applyNumberFormat="1" applyFont="1" applyFill="1" applyBorder="1" applyAlignment="1"/>
    <xf numFmtId="2" fontId="2" fillId="0" borderId="3" xfId="0" applyNumberFormat="1" applyFont="1" applyBorder="1"/>
    <xf numFmtId="43" fontId="2" fillId="0" borderId="0" xfId="1" applyFont="1"/>
    <xf numFmtId="43" fontId="2" fillId="0" borderId="2" xfId="1" applyFont="1" applyBorder="1"/>
    <xf numFmtId="43" fontId="2" fillId="0" borderId="3" xfId="1" applyFont="1" applyBorder="1"/>
    <xf numFmtId="43" fontId="2" fillId="0" borderId="0" xfId="0" applyNumberFormat="1" applyFont="1"/>
    <xf numFmtId="0" fontId="8" fillId="0" borderId="0" xfId="0" applyFont="1"/>
    <xf numFmtId="43" fontId="2" fillId="0" borderId="3" xfId="0" applyNumberFormat="1" applyFont="1" applyBorder="1"/>
    <xf numFmtId="43" fontId="2" fillId="2" borderId="0" xfId="0" applyNumberFormat="1" applyFont="1" applyFill="1"/>
    <xf numFmtId="0" fontId="2" fillId="0" borderId="3" xfId="0" applyFont="1" applyBorder="1"/>
    <xf numFmtId="164" fontId="2" fillId="0" borderId="3" xfId="0" applyNumberFormat="1" applyFont="1" applyBorder="1"/>
    <xf numFmtId="43" fontId="2" fillId="0" borderId="0" xfId="1" applyFont="1" applyAlignment="1">
      <alignment horizontal="center"/>
    </xf>
    <xf numFmtId="43" fontId="4" fillId="0" borderId="0" xfId="1" applyFont="1" applyFill="1" applyAlignment="1"/>
    <xf numFmtId="43" fontId="4" fillId="0" borderId="3" xfId="1" applyFont="1" applyFill="1" applyBorder="1" applyAlignment="1"/>
    <xf numFmtId="43" fontId="4" fillId="0" borderId="0" xfId="1" applyFont="1" applyFill="1" applyBorder="1" applyAlignment="1"/>
    <xf numFmtId="43" fontId="2" fillId="0" borderId="3" xfId="1" applyFont="1" applyBorder="1" applyAlignment="1"/>
    <xf numFmtId="14" fontId="2" fillId="0" borderId="0" xfId="1" applyNumberFormat="1" applyFont="1" applyAlignment="1">
      <alignment horizontal="center"/>
    </xf>
    <xf numFmtId="43" fontId="2" fillId="2" borderId="3" xfId="0" applyNumberFormat="1" applyFont="1" applyFill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4" fillId="0" borderId="0" xfId="1" applyNumberFormat="1" applyFont="1" applyFill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165" fontId="2" fillId="0" borderId="0" xfId="0" applyNumberFormat="1" applyFont="1"/>
    <xf numFmtId="165" fontId="2" fillId="0" borderId="2" xfId="0" applyNumberFormat="1" applyFont="1" applyBorder="1"/>
    <xf numFmtId="0" fontId="10" fillId="0" borderId="0" xfId="0" applyFont="1" applyAlignment="1">
      <alignment wrapText="1"/>
    </xf>
    <xf numFmtId="165" fontId="10" fillId="0" borderId="0" xfId="1" applyNumberFormat="1" applyFont="1" applyFill="1" applyAlignment="1">
      <alignment horizontal="center"/>
    </xf>
    <xf numFmtId="165" fontId="10" fillId="0" borderId="0" xfId="0" applyNumberFormat="1" applyFont="1"/>
    <xf numFmtId="165" fontId="10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right" wrapText="1"/>
    </xf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14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/>
    <xf numFmtId="0" fontId="15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0" xfId="0" applyFont="1" applyAlignment="1">
      <alignment wrapText="1"/>
    </xf>
    <xf numFmtId="164" fontId="13" fillId="0" borderId="0" xfId="1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wrapText="1"/>
    </xf>
    <xf numFmtId="165" fontId="13" fillId="0" borderId="0" xfId="1" applyNumberFormat="1" applyFont="1" applyFill="1" applyAlignment="1">
      <alignment horizontal="center"/>
    </xf>
    <xf numFmtId="165" fontId="14" fillId="0" borderId="0" xfId="0" applyNumberFormat="1" applyFont="1" applyAlignment="1">
      <alignment horizontal="center"/>
    </xf>
    <xf numFmtId="165" fontId="14" fillId="0" borderId="0" xfId="0" applyNumberFormat="1" applyFont="1"/>
    <xf numFmtId="0" fontId="16" fillId="0" borderId="0" xfId="0" applyFont="1" applyAlignment="1">
      <alignment wrapText="1"/>
    </xf>
    <xf numFmtId="165" fontId="14" fillId="0" borderId="0" xfId="1" applyNumberFormat="1" applyFont="1" applyAlignment="1">
      <alignment horizontal="center"/>
    </xf>
    <xf numFmtId="0" fontId="13" fillId="0" borderId="1" xfId="0" applyFont="1" applyBorder="1" applyAlignment="1">
      <alignment wrapText="1"/>
    </xf>
    <xf numFmtId="165" fontId="13" fillId="0" borderId="1" xfId="1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165" fontId="14" fillId="0" borderId="1" xfId="0" applyNumberFormat="1" applyFont="1" applyBorder="1"/>
    <xf numFmtId="0" fontId="17" fillId="0" borderId="0" xfId="0" applyFont="1" applyAlignment="1">
      <alignment wrapText="1"/>
    </xf>
    <xf numFmtId="165" fontId="13" fillId="0" borderId="0" xfId="1" applyNumberFormat="1" applyFont="1" applyFill="1" applyBorder="1" applyAlignment="1">
      <alignment horizontal="center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wrapText="1"/>
    </xf>
    <xf numFmtId="165" fontId="19" fillId="0" borderId="0" xfId="1" applyNumberFormat="1" applyFont="1" applyFill="1" applyAlignment="1">
      <alignment horizontal="center"/>
    </xf>
    <xf numFmtId="165" fontId="19" fillId="0" borderId="0" xfId="1" applyNumberFormat="1" applyFont="1" applyAlignment="1">
      <alignment horizontal="center"/>
    </xf>
    <xf numFmtId="165" fontId="19" fillId="0" borderId="0" xfId="0" applyNumberFormat="1" applyFont="1" applyAlignment="1">
      <alignment horizontal="center"/>
    </xf>
    <xf numFmtId="165" fontId="19" fillId="0" borderId="0" xfId="0" applyNumberFormat="1" applyFont="1"/>
    <xf numFmtId="165" fontId="19" fillId="0" borderId="0" xfId="1" applyNumberFormat="1" applyFont="1" applyFill="1" applyBorder="1" applyAlignment="1">
      <alignment horizontal="center"/>
    </xf>
    <xf numFmtId="0" fontId="19" fillId="0" borderId="1" xfId="0" applyFont="1" applyBorder="1" applyAlignment="1">
      <alignment wrapText="1"/>
    </xf>
    <xf numFmtId="165" fontId="19" fillId="0" borderId="1" xfId="1" applyNumberFormat="1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center"/>
    </xf>
    <xf numFmtId="0" fontId="20" fillId="0" borderId="0" xfId="0" applyFont="1" applyAlignment="1">
      <alignment wrapText="1"/>
    </xf>
    <xf numFmtId="165" fontId="14" fillId="0" borderId="2" xfId="0" applyNumberFormat="1" applyFont="1" applyBorder="1" applyAlignment="1">
      <alignment horizontal="center"/>
    </xf>
    <xf numFmtId="44" fontId="14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zoomScale="69" zoomScaleNormal="69" workbookViewId="0">
      <pane xSplit="2" ySplit="2" topLeftCell="C18" activePane="bottomRight" state="frozen"/>
      <selection pane="topRight" activeCell="C1" sqref="C1"/>
      <selection pane="bottomLeft" activeCell="A3" sqref="A3"/>
      <selection pane="bottomRight" activeCell="D48" sqref="D48"/>
    </sheetView>
  </sheetViews>
  <sheetFormatPr defaultColWidth="15.5703125" defaultRowHeight="18.75" x14ac:dyDescent="0.3"/>
  <cols>
    <col min="1" max="1" width="90.28515625" style="1" customWidth="1"/>
    <col min="2" max="2" width="17.28515625" style="1" bestFit="1" customWidth="1"/>
    <col min="3" max="3" width="25.5703125" style="1" customWidth="1"/>
    <col min="4" max="4" width="45.7109375" style="1" customWidth="1"/>
    <col min="5" max="5" width="15.7109375" style="1" bestFit="1" customWidth="1"/>
    <col min="6" max="6" width="14.5703125" style="1" bestFit="1" customWidth="1"/>
    <col min="7" max="7" width="15.7109375" style="1" bestFit="1" customWidth="1"/>
    <col min="8" max="8" width="55.140625" style="1" customWidth="1"/>
    <col min="9" max="9" width="25" style="22" customWidth="1"/>
    <col min="10" max="10" width="18.42578125" style="1" bestFit="1" customWidth="1"/>
    <col min="11" max="11" width="19.140625" style="22" customWidth="1"/>
    <col min="12" max="12" width="18.42578125" style="1" bestFit="1" customWidth="1"/>
    <col min="13" max="13" width="16.140625" style="1" bestFit="1" customWidth="1"/>
    <col min="14" max="16384" width="15.5703125" style="1"/>
  </cols>
  <sheetData>
    <row r="1" spans="1:13" x14ac:dyDescent="0.3">
      <c r="A1" s="3" t="s">
        <v>21</v>
      </c>
      <c r="B1" s="5"/>
      <c r="F1" s="1" t="s">
        <v>53</v>
      </c>
      <c r="G1" s="12">
        <v>45016</v>
      </c>
      <c r="J1" s="12" t="s">
        <v>55</v>
      </c>
      <c r="K1" s="36">
        <v>45382</v>
      </c>
      <c r="M1" s="1" t="s">
        <v>96</v>
      </c>
    </row>
    <row r="2" spans="1:13" x14ac:dyDescent="0.3">
      <c r="A2" s="6" t="s">
        <v>1</v>
      </c>
      <c r="B2" s="7" t="s">
        <v>34</v>
      </c>
      <c r="C2" s="4" t="s">
        <v>15</v>
      </c>
      <c r="D2" s="1" t="s">
        <v>19</v>
      </c>
      <c r="E2" s="1" t="s">
        <v>22</v>
      </c>
      <c r="F2" s="1" t="s">
        <v>24</v>
      </c>
      <c r="G2" s="1" t="s">
        <v>26</v>
      </c>
      <c r="I2" s="22" t="s">
        <v>67</v>
      </c>
      <c r="K2" s="31" t="s">
        <v>85</v>
      </c>
    </row>
    <row r="3" spans="1:13" x14ac:dyDescent="0.3">
      <c r="A3" s="16" t="s">
        <v>64</v>
      </c>
      <c r="B3" s="8"/>
    </row>
    <row r="4" spans="1:13" x14ac:dyDescent="0.3">
      <c r="A4" s="5" t="s">
        <v>3</v>
      </c>
      <c r="B4" s="9">
        <v>64000</v>
      </c>
      <c r="C4" s="1" t="s">
        <v>14</v>
      </c>
      <c r="D4" s="1" t="s">
        <v>31</v>
      </c>
      <c r="E4" s="12">
        <v>44957</v>
      </c>
      <c r="F4" s="9">
        <v>64000</v>
      </c>
      <c r="G4" s="18">
        <v>46747.74</v>
      </c>
      <c r="H4" s="1" t="s">
        <v>41</v>
      </c>
      <c r="I4" s="22">
        <f>742.68+1225.35</f>
        <v>1968.0299999999997</v>
      </c>
      <c r="J4" s="25">
        <f t="shared" ref="J4:J19" si="0">F4-G4-I4</f>
        <v>15284.230000000003</v>
      </c>
      <c r="K4" s="32">
        <f>46747.74+1968.03</f>
        <v>48715.77</v>
      </c>
      <c r="L4" s="1" t="s">
        <v>90</v>
      </c>
    </row>
    <row r="5" spans="1:13" ht="37.5" x14ac:dyDescent="0.3">
      <c r="A5" s="5" t="s">
        <v>16</v>
      </c>
      <c r="B5" s="9">
        <v>100000</v>
      </c>
      <c r="C5" s="13" t="s">
        <v>50</v>
      </c>
      <c r="D5" s="13" t="s">
        <v>53</v>
      </c>
      <c r="F5" s="9">
        <v>301561</v>
      </c>
      <c r="G5" s="18">
        <f>105000+4450+2225</f>
        <v>111675</v>
      </c>
      <c r="H5" s="13" t="s">
        <v>51</v>
      </c>
      <c r="I5" s="22">
        <f>2225+3690+187660.5</f>
        <v>193575.5</v>
      </c>
      <c r="J5" s="28">
        <f t="shared" si="0"/>
        <v>-3689.5</v>
      </c>
      <c r="K5" s="32">
        <f>111675+193576</f>
        <v>305251</v>
      </c>
      <c r="L5" s="1">
        <v>10000</v>
      </c>
      <c r="M5" s="1" t="s">
        <v>91</v>
      </c>
    </row>
    <row r="6" spans="1:13" x14ac:dyDescent="0.3">
      <c r="A6" s="5"/>
      <c r="B6" s="9"/>
      <c r="C6" s="13"/>
      <c r="D6" s="13"/>
      <c r="F6" s="9"/>
      <c r="G6" s="18"/>
      <c r="H6" s="13"/>
      <c r="J6" s="25">
        <f t="shared" si="0"/>
        <v>0</v>
      </c>
      <c r="K6" s="32"/>
    </row>
    <row r="7" spans="1:13" ht="37.5" x14ac:dyDescent="0.3">
      <c r="A7" s="1" t="s">
        <v>28</v>
      </c>
      <c r="B7" s="9">
        <v>132500</v>
      </c>
      <c r="C7" s="1" t="s">
        <v>0</v>
      </c>
      <c r="D7" s="13" t="s">
        <v>45</v>
      </c>
      <c r="E7" s="12">
        <v>44839</v>
      </c>
      <c r="F7" s="9"/>
      <c r="G7" s="18"/>
      <c r="J7" s="25">
        <f t="shared" si="0"/>
        <v>0</v>
      </c>
      <c r="K7" s="32"/>
    </row>
    <row r="8" spans="1:13" x14ac:dyDescent="0.3">
      <c r="A8" s="1" t="s">
        <v>28</v>
      </c>
      <c r="B8" s="9"/>
      <c r="C8" s="1" t="s">
        <v>56</v>
      </c>
      <c r="F8" s="9">
        <v>26500</v>
      </c>
      <c r="G8" s="17">
        <v>26500</v>
      </c>
      <c r="J8" s="25">
        <f t="shared" si="0"/>
        <v>0</v>
      </c>
      <c r="K8" s="32">
        <v>26500</v>
      </c>
    </row>
    <row r="9" spans="1:13" x14ac:dyDescent="0.3">
      <c r="A9" s="1" t="s">
        <v>28</v>
      </c>
      <c r="B9" s="9"/>
      <c r="C9" s="1" t="s">
        <v>59</v>
      </c>
      <c r="F9" s="9">
        <v>26500</v>
      </c>
      <c r="G9" s="17"/>
      <c r="I9" s="22">
        <f>7365+19135</f>
        <v>26500</v>
      </c>
      <c r="J9" s="25">
        <f t="shared" si="0"/>
        <v>0</v>
      </c>
      <c r="K9" s="32">
        <v>26500</v>
      </c>
    </row>
    <row r="10" spans="1:13" x14ac:dyDescent="0.3">
      <c r="A10" s="1" t="s">
        <v>28</v>
      </c>
      <c r="B10" s="9"/>
      <c r="C10" s="1" t="s">
        <v>60</v>
      </c>
      <c r="F10" s="9">
        <v>26500</v>
      </c>
      <c r="G10" s="17"/>
      <c r="J10" s="25">
        <f t="shared" si="0"/>
        <v>26500</v>
      </c>
      <c r="K10" s="32">
        <v>26500</v>
      </c>
      <c r="L10" s="1" t="s">
        <v>93</v>
      </c>
    </row>
    <row r="11" spans="1:13" x14ac:dyDescent="0.3">
      <c r="A11" s="1" t="s">
        <v>28</v>
      </c>
      <c r="B11" s="9"/>
      <c r="C11" s="1" t="s">
        <v>61</v>
      </c>
      <c r="D11" s="1" t="s">
        <v>62</v>
      </c>
      <c r="F11" s="9">
        <v>26500</v>
      </c>
      <c r="G11" s="17"/>
      <c r="J11" s="25">
        <f t="shared" si="0"/>
        <v>26500</v>
      </c>
      <c r="K11" s="32"/>
      <c r="L11" s="1" t="s">
        <v>92</v>
      </c>
    </row>
    <row r="12" spans="1:13" x14ac:dyDescent="0.3">
      <c r="A12" s="1" t="s">
        <v>28</v>
      </c>
      <c r="B12" s="9"/>
      <c r="C12" s="1" t="s">
        <v>63</v>
      </c>
      <c r="F12" s="9">
        <v>26500</v>
      </c>
      <c r="G12" s="17"/>
      <c r="I12" s="22">
        <v>14232.72</v>
      </c>
      <c r="J12" s="25">
        <f t="shared" si="0"/>
        <v>12267.28</v>
      </c>
      <c r="K12" s="32">
        <v>26500</v>
      </c>
      <c r="L12" s="1" t="s">
        <v>93</v>
      </c>
    </row>
    <row r="13" spans="1:13" x14ac:dyDescent="0.3">
      <c r="B13" s="9"/>
      <c r="F13" s="9"/>
      <c r="G13" s="18"/>
      <c r="J13" s="25">
        <f t="shared" si="0"/>
        <v>0</v>
      </c>
      <c r="K13" s="32"/>
    </row>
    <row r="14" spans="1:13" x14ac:dyDescent="0.3">
      <c r="A14" s="1" t="s">
        <v>12</v>
      </c>
      <c r="B14" s="9">
        <v>83330</v>
      </c>
      <c r="C14" s="1" t="s">
        <v>0</v>
      </c>
      <c r="D14" s="1" t="s">
        <v>25</v>
      </c>
      <c r="E14" s="12">
        <v>44881</v>
      </c>
      <c r="F14" s="9">
        <v>83330</v>
      </c>
      <c r="G14" s="18">
        <v>83330</v>
      </c>
      <c r="J14" s="25">
        <f t="shared" si="0"/>
        <v>0</v>
      </c>
      <c r="K14" s="32">
        <v>83330</v>
      </c>
    </row>
    <row r="15" spans="1:13" ht="37.5" x14ac:dyDescent="0.3">
      <c r="A15" s="10" t="s">
        <v>10</v>
      </c>
      <c r="B15" s="9">
        <v>34000</v>
      </c>
      <c r="C15" s="1" t="s">
        <v>0</v>
      </c>
      <c r="D15" s="1" t="s">
        <v>20</v>
      </c>
      <c r="E15" s="12">
        <v>44839</v>
      </c>
      <c r="F15" s="9">
        <v>34000</v>
      </c>
      <c r="G15" s="18">
        <f>475+692</f>
        <v>1167</v>
      </c>
      <c r="H15" s="13" t="s">
        <v>42</v>
      </c>
      <c r="I15" s="22">
        <f>682+173+173+173</f>
        <v>1201</v>
      </c>
      <c r="J15" s="25">
        <f t="shared" si="0"/>
        <v>31632</v>
      </c>
      <c r="K15" s="32">
        <f>1167+1201</f>
        <v>2368</v>
      </c>
      <c r="M15" s="1">
        <v>20000</v>
      </c>
    </row>
    <row r="16" spans="1:13" ht="37.5" x14ac:dyDescent="0.3">
      <c r="A16" s="5" t="s">
        <v>38</v>
      </c>
      <c r="B16" s="9">
        <v>85000</v>
      </c>
      <c r="C16" s="1" t="s">
        <v>14</v>
      </c>
      <c r="D16" s="1" t="s">
        <v>32</v>
      </c>
      <c r="F16" s="9">
        <v>85000</v>
      </c>
      <c r="G16" s="18">
        <v>5000</v>
      </c>
      <c r="H16" s="13" t="s">
        <v>39</v>
      </c>
      <c r="I16" s="22">
        <f>5000+5000+5000+5000+5000</f>
        <v>25000</v>
      </c>
      <c r="J16" s="25">
        <f t="shared" si="0"/>
        <v>55000</v>
      </c>
      <c r="K16" s="32">
        <v>85000</v>
      </c>
      <c r="L16" s="1" t="s">
        <v>92</v>
      </c>
    </row>
    <row r="17" spans="1:13" x14ac:dyDescent="0.3">
      <c r="A17" s="5" t="s">
        <v>9</v>
      </c>
      <c r="B17" s="9">
        <v>150000</v>
      </c>
      <c r="C17" s="1" t="s">
        <v>0</v>
      </c>
      <c r="D17" s="1" t="s">
        <v>52</v>
      </c>
      <c r="F17" s="9">
        <v>50000</v>
      </c>
      <c r="G17" s="18">
        <v>0</v>
      </c>
      <c r="I17" s="22">
        <v>50000</v>
      </c>
      <c r="J17" s="25">
        <f t="shared" si="0"/>
        <v>0</v>
      </c>
      <c r="K17" s="32">
        <v>50000</v>
      </c>
    </row>
    <row r="18" spans="1:13" ht="37.5" x14ac:dyDescent="0.3">
      <c r="A18" s="10" t="s">
        <v>57</v>
      </c>
      <c r="B18" s="9">
        <v>225000</v>
      </c>
      <c r="C18" s="1" t="s">
        <v>0</v>
      </c>
      <c r="D18" s="1" t="s">
        <v>33</v>
      </c>
      <c r="F18" s="9">
        <v>225000</v>
      </c>
      <c r="G18" s="18">
        <v>0</v>
      </c>
      <c r="H18" s="13" t="s">
        <v>46</v>
      </c>
      <c r="I18" s="22">
        <f>64.09+31.94+1200+1114.14+1291.8+1291.8+1178.77+1259.51+1291.8+1291.8+1291.8+1291.8+1291.8+1291.8+1291.8+1291.8+1291.8+1265+1033.44+1146.47+1259.51+1289.22+1283.73+1283.73+1194.92</f>
        <v>28814.269999999997</v>
      </c>
      <c r="J18" s="25">
        <f t="shared" si="0"/>
        <v>196185.73</v>
      </c>
      <c r="K18" s="32">
        <f>28814+58800</f>
        <v>87614</v>
      </c>
      <c r="M18" s="1">
        <v>125000</v>
      </c>
    </row>
    <row r="19" spans="1:13" ht="37.5" x14ac:dyDescent="0.3">
      <c r="A19" s="10" t="s">
        <v>11</v>
      </c>
      <c r="B19" s="9">
        <v>86050</v>
      </c>
      <c r="C19" s="1" t="s">
        <v>0</v>
      </c>
      <c r="D19" s="1" t="s">
        <v>27</v>
      </c>
      <c r="E19" s="12">
        <v>44839</v>
      </c>
      <c r="F19" s="9">
        <v>86050</v>
      </c>
      <c r="G19" s="18">
        <v>0</v>
      </c>
      <c r="H19" s="13" t="s">
        <v>37</v>
      </c>
      <c r="I19" s="22">
        <f>16983+9775</f>
        <v>26758</v>
      </c>
      <c r="J19" s="25">
        <f t="shared" si="0"/>
        <v>59292</v>
      </c>
      <c r="K19" s="32">
        <v>86050</v>
      </c>
      <c r="L19" s="1" t="s">
        <v>93</v>
      </c>
    </row>
    <row r="20" spans="1:13" ht="19.5" thickBot="1" x14ac:dyDescent="0.35">
      <c r="A20" s="15" t="s">
        <v>65</v>
      </c>
      <c r="B20" s="9"/>
      <c r="F20" s="9"/>
      <c r="G20" s="19">
        <f>SUM(G4:G19)</f>
        <v>274419.74</v>
      </c>
      <c r="H20" s="13"/>
      <c r="J20" s="25"/>
      <c r="K20" s="33"/>
    </row>
    <row r="21" spans="1:13" ht="19.5" thickTop="1" x14ac:dyDescent="0.3">
      <c r="A21" s="10"/>
      <c r="B21" s="9"/>
      <c r="F21" s="9"/>
      <c r="G21" s="9"/>
      <c r="H21" s="13"/>
      <c r="J21" s="25">
        <f t="shared" ref="J21:J36" si="1">F21-G21-I21</f>
        <v>0</v>
      </c>
      <c r="K21" s="32"/>
    </row>
    <row r="22" spans="1:13" x14ac:dyDescent="0.3">
      <c r="A22" s="16" t="s">
        <v>88</v>
      </c>
      <c r="B22" s="9"/>
      <c r="F22" s="9"/>
      <c r="G22" s="9"/>
      <c r="H22" s="13"/>
      <c r="J22" s="25">
        <f t="shared" si="1"/>
        <v>0</v>
      </c>
      <c r="K22" s="32"/>
    </row>
    <row r="23" spans="1:13" x14ac:dyDescent="0.3">
      <c r="A23" s="1" t="s">
        <v>54</v>
      </c>
      <c r="B23" s="9">
        <v>80000</v>
      </c>
      <c r="C23" s="1" t="s">
        <v>0</v>
      </c>
      <c r="D23" s="1" t="s">
        <v>48</v>
      </c>
      <c r="E23" s="12">
        <v>44839</v>
      </c>
      <c r="F23" s="9">
        <v>34000</v>
      </c>
      <c r="G23" s="9">
        <v>0</v>
      </c>
      <c r="I23" s="22">
        <f>13025</f>
        <v>13025</v>
      </c>
      <c r="J23" s="25">
        <f t="shared" si="1"/>
        <v>20975</v>
      </c>
      <c r="K23" s="32">
        <v>13025</v>
      </c>
      <c r="L23" s="1" t="s">
        <v>94</v>
      </c>
    </row>
    <row r="24" spans="1:13" x14ac:dyDescent="0.3">
      <c r="A24" s="5" t="s">
        <v>5</v>
      </c>
      <c r="B24" s="9">
        <v>30000</v>
      </c>
      <c r="C24" s="1" t="s">
        <v>0</v>
      </c>
      <c r="F24" s="9">
        <v>50000</v>
      </c>
      <c r="G24" s="9">
        <v>0</v>
      </c>
      <c r="I24" s="22">
        <f>44541+471.84+4081+5459+368+101.98+1307.1</f>
        <v>56329.919999999998</v>
      </c>
      <c r="J24" s="28">
        <f t="shared" si="1"/>
        <v>-6329.9199999999983</v>
      </c>
      <c r="K24" s="32">
        <v>56330</v>
      </c>
    </row>
    <row r="25" spans="1:13" x14ac:dyDescent="0.3">
      <c r="A25" s="5" t="s">
        <v>5</v>
      </c>
      <c r="B25" s="9">
        <v>20000</v>
      </c>
      <c r="C25" s="1" t="s">
        <v>14</v>
      </c>
      <c r="F25" s="9"/>
      <c r="G25" s="9">
        <v>0</v>
      </c>
      <c r="J25" s="25">
        <f t="shared" si="1"/>
        <v>0</v>
      </c>
      <c r="K25" s="32"/>
    </row>
    <row r="26" spans="1:13" x14ac:dyDescent="0.3">
      <c r="A26" s="5" t="s">
        <v>8</v>
      </c>
      <c r="B26" s="9">
        <v>10000</v>
      </c>
      <c r="C26" s="1" t="s">
        <v>0</v>
      </c>
      <c r="D26" s="1" t="s">
        <v>49</v>
      </c>
      <c r="F26" s="9">
        <v>10000</v>
      </c>
      <c r="G26" s="9"/>
      <c r="H26" s="1" t="s">
        <v>58</v>
      </c>
      <c r="J26" s="25">
        <f t="shared" si="1"/>
        <v>10000</v>
      </c>
      <c r="K26" s="32"/>
      <c r="M26" s="1">
        <v>10000</v>
      </c>
    </row>
    <row r="27" spans="1:13" x14ac:dyDescent="0.3">
      <c r="A27" s="5" t="s">
        <v>68</v>
      </c>
      <c r="B27" s="9"/>
      <c r="F27" s="9">
        <v>40000</v>
      </c>
      <c r="G27" s="9"/>
      <c r="I27" s="22">
        <f>5000</f>
        <v>5000</v>
      </c>
      <c r="J27" s="25">
        <f t="shared" si="1"/>
        <v>35000</v>
      </c>
      <c r="K27" s="32">
        <v>40000</v>
      </c>
      <c r="L27" s="1" t="s">
        <v>93</v>
      </c>
    </row>
    <row r="28" spans="1:13" x14ac:dyDescent="0.3">
      <c r="A28" s="5"/>
      <c r="B28" s="9"/>
      <c r="F28" s="9"/>
      <c r="G28" s="9"/>
      <c r="J28" s="25">
        <f t="shared" si="1"/>
        <v>0</v>
      </c>
      <c r="K28" s="32"/>
    </row>
    <row r="29" spans="1:13" x14ac:dyDescent="0.3">
      <c r="A29" s="16"/>
      <c r="B29" s="9"/>
      <c r="E29" s="12"/>
      <c r="F29" s="9"/>
      <c r="G29" s="9"/>
      <c r="H29" s="13"/>
      <c r="J29" s="25">
        <f t="shared" si="1"/>
        <v>0</v>
      </c>
      <c r="K29" s="32"/>
    </row>
    <row r="30" spans="1:13" x14ac:dyDescent="0.3">
      <c r="A30" s="5" t="s">
        <v>44</v>
      </c>
      <c r="B30" s="9">
        <v>500000</v>
      </c>
      <c r="C30" s="1" t="s">
        <v>0</v>
      </c>
      <c r="F30" s="9">
        <v>500000</v>
      </c>
      <c r="G30" s="9">
        <v>0</v>
      </c>
      <c r="H30" s="1" t="s">
        <v>40</v>
      </c>
      <c r="I30" s="22">
        <f>5404.4</f>
        <v>5404.4</v>
      </c>
      <c r="J30" s="25">
        <f t="shared" si="1"/>
        <v>494595.6</v>
      </c>
      <c r="K30" s="32">
        <v>5404</v>
      </c>
    </row>
    <row r="31" spans="1:13" x14ac:dyDescent="0.3">
      <c r="A31" s="5" t="s">
        <v>13</v>
      </c>
      <c r="B31" s="9">
        <v>300000</v>
      </c>
      <c r="C31" s="1" t="s">
        <v>29</v>
      </c>
      <c r="D31" s="1" t="s">
        <v>30</v>
      </c>
      <c r="F31" s="9">
        <v>150000</v>
      </c>
      <c r="G31" s="9">
        <v>0</v>
      </c>
      <c r="H31" s="1" t="s">
        <v>40</v>
      </c>
      <c r="J31" s="25">
        <f t="shared" si="1"/>
        <v>150000</v>
      </c>
      <c r="K31" s="32">
        <v>0</v>
      </c>
      <c r="M31" s="1">
        <v>150000</v>
      </c>
    </row>
    <row r="32" spans="1:13" x14ac:dyDescent="0.3">
      <c r="A32" s="5" t="s">
        <v>7</v>
      </c>
      <c r="B32" s="9">
        <v>161500</v>
      </c>
      <c r="C32" s="1" t="s">
        <v>0</v>
      </c>
      <c r="D32" s="1" t="s">
        <v>23</v>
      </c>
      <c r="E32" s="12">
        <v>44840</v>
      </c>
      <c r="F32" s="9">
        <v>40500</v>
      </c>
      <c r="G32" s="9">
        <v>0</v>
      </c>
      <c r="H32" s="1" t="s">
        <v>35</v>
      </c>
      <c r="J32" s="25">
        <f t="shared" si="1"/>
        <v>40500</v>
      </c>
      <c r="K32" s="32">
        <v>40500</v>
      </c>
    </row>
    <row r="33" spans="1:14" x14ac:dyDescent="0.3">
      <c r="A33" s="1" t="s">
        <v>97</v>
      </c>
      <c r="B33" s="9">
        <v>57200</v>
      </c>
      <c r="C33" s="1" t="s">
        <v>0</v>
      </c>
      <c r="F33" s="9">
        <v>5000</v>
      </c>
      <c r="G33" s="9">
        <v>0</v>
      </c>
      <c r="J33" s="25">
        <f t="shared" si="1"/>
        <v>5000</v>
      </c>
      <c r="K33" s="32"/>
      <c r="M33" s="1">
        <v>5000</v>
      </c>
      <c r="N33" s="1" t="s">
        <v>95</v>
      </c>
    </row>
    <row r="34" spans="1:14" x14ac:dyDescent="0.3">
      <c r="A34" s="5" t="s">
        <v>6</v>
      </c>
      <c r="B34" s="9">
        <v>30000</v>
      </c>
      <c r="C34" s="1" t="s">
        <v>0</v>
      </c>
      <c r="F34" s="9">
        <v>99234</v>
      </c>
      <c r="G34" s="9">
        <v>0</v>
      </c>
      <c r="H34" s="1" t="s">
        <v>71</v>
      </c>
      <c r="J34" s="25">
        <f t="shared" si="1"/>
        <v>99234</v>
      </c>
      <c r="K34" s="32">
        <v>99234</v>
      </c>
    </row>
    <row r="35" spans="1:14" x14ac:dyDescent="0.3">
      <c r="A35" s="5" t="s">
        <v>4</v>
      </c>
      <c r="B35" s="9">
        <v>24000</v>
      </c>
      <c r="C35" s="1" t="s">
        <v>14</v>
      </c>
      <c r="F35" s="9">
        <v>24000</v>
      </c>
      <c r="G35" s="9">
        <v>0</v>
      </c>
      <c r="H35" s="1" t="s">
        <v>43</v>
      </c>
      <c r="I35" s="22">
        <f>2479+5031+363+363</f>
        <v>8236</v>
      </c>
      <c r="J35" s="25">
        <f t="shared" si="1"/>
        <v>15764</v>
      </c>
      <c r="K35" s="32">
        <v>8236</v>
      </c>
    </row>
    <row r="36" spans="1:14" x14ac:dyDescent="0.3">
      <c r="A36" s="5" t="s">
        <v>69</v>
      </c>
      <c r="B36" s="9"/>
      <c r="D36" s="1" t="s">
        <v>70</v>
      </c>
      <c r="F36" s="9">
        <v>40000</v>
      </c>
      <c r="G36" s="9"/>
      <c r="I36" s="22">
        <v>0</v>
      </c>
      <c r="J36" s="25">
        <f t="shared" si="1"/>
        <v>40000</v>
      </c>
      <c r="K36" s="32"/>
      <c r="M36" s="1">
        <v>40000</v>
      </c>
    </row>
    <row r="37" spans="1:14" x14ac:dyDescent="0.3">
      <c r="A37" s="5" t="s">
        <v>73</v>
      </c>
      <c r="B37" s="9"/>
      <c r="C37" s="1" t="s">
        <v>0</v>
      </c>
      <c r="D37" s="1" t="s">
        <v>76</v>
      </c>
      <c r="F37" s="9">
        <v>25000</v>
      </c>
      <c r="G37" s="9"/>
      <c r="I37" s="22">
        <v>0</v>
      </c>
      <c r="J37" s="25">
        <f>F37-G37-I37</f>
        <v>25000</v>
      </c>
      <c r="K37" s="32"/>
    </row>
    <row r="38" spans="1:14" x14ac:dyDescent="0.3">
      <c r="A38" s="5" t="s">
        <v>74</v>
      </c>
      <c r="B38" s="9"/>
      <c r="C38" s="1" t="s">
        <v>0</v>
      </c>
      <c r="D38" s="1" t="s">
        <v>75</v>
      </c>
      <c r="F38" s="9">
        <v>65000</v>
      </c>
      <c r="G38" s="9"/>
      <c r="J38" s="25">
        <f>F38-G38-I38</f>
        <v>65000</v>
      </c>
      <c r="K38" s="32"/>
    </row>
    <row r="39" spans="1:14" ht="19.5" thickBot="1" x14ac:dyDescent="0.35">
      <c r="A39" s="15" t="s">
        <v>86</v>
      </c>
      <c r="B39" s="9"/>
      <c r="F39" s="9"/>
      <c r="G39" s="9"/>
      <c r="I39" s="24">
        <f>SUM(I3:I38)</f>
        <v>456044.84</v>
      </c>
      <c r="J39" s="24">
        <f t="shared" ref="J39:M39" si="2">SUM(J3:J38)</f>
        <v>1413710.42</v>
      </c>
      <c r="K39" s="24">
        <f t="shared" si="2"/>
        <v>1117057.77</v>
      </c>
      <c r="M39" s="24">
        <f t="shared" si="2"/>
        <v>350000</v>
      </c>
    </row>
    <row r="40" spans="1:14" ht="19.5" thickTop="1" x14ac:dyDescent="0.3">
      <c r="A40" s="5"/>
      <c r="B40" s="9"/>
      <c r="F40" s="9"/>
      <c r="G40" s="9"/>
      <c r="J40" s="25"/>
      <c r="K40" s="32"/>
    </row>
    <row r="41" spans="1:14" x14ac:dyDescent="0.3">
      <c r="A41" s="5"/>
      <c r="B41" s="9"/>
      <c r="F41" s="9"/>
      <c r="G41" s="9"/>
      <c r="J41" s="25"/>
      <c r="K41" s="32"/>
    </row>
    <row r="42" spans="1:14" x14ac:dyDescent="0.3">
      <c r="A42" s="15" t="s">
        <v>66</v>
      </c>
      <c r="B42" s="9"/>
      <c r="F42" s="9"/>
      <c r="G42" s="20"/>
      <c r="H42" s="13"/>
      <c r="J42" s="25">
        <f>F42-G42-I42</f>
        <v>0</v>
      </c>
      <c r="K42" s="34"/>
    </row>
    <row r="43" spans="1:14" ht="19.5" thickBot="1" x14ac:dyDescent="0.35">
      <c r="A43" s="5" t="s">
        <v>2</v>
      </c>
      <c r="B43" s="9">
        <v>142675</v>
      </c>
      <c r="C43" s="1" t="s">
        <v>14</v>
      </c>
      <c r="D43" s="1" t="s">
        <v>47</v>
      </c>
      <c r="F43" s="9">
        <v>142675</v>
      </c>
      <c r="G43" s="21">
        <v>12174.23</v>
      </c>
      <c r="H43" s="1" t="s">
        <v>36</v>
      </c>
      <c r="I43" s="24">
        <f>37161.02</f>
        <v>37161.019999999997</v>
      </c>
      <c r="J43" s="27">
        <f>F43-G43-I43</f>
        <v>93339.75</v>
      </c>
      <c r="K43" s="33">
        <v>142675</v>
      </c>
    </row>
    <row r="44" spans="1:14" ht="19.5" thickTop="1" x14ac:dyDescent="0.3">
      <c r="A44" s="5"/>
      <c r="B44" s="9"/>
      <c r="F44" s="9"/>
      <c r="G44" s="9"/>
      <c r="J44" s="25"/>
      <c r="K44" s="32"/>
    </row>
    <row r="45" spans="1:14" ht="19.5" thickBot="1" x14ac:dyDescent="0.35">
      <c r="A45" s="26" t="s">
        <v>89</v>
      </c>
      <c r="F45" s="1">
        <v>26988</v>
      </c>
      <c r="I45" s="24"/>
      <c r="J45" s="37">
        <f>F45-G45-I45</f>
        <v>26988</v>
      </c>
      <c r="K45" s="24"/>
    </row>
    <row r="46" spans="1:14" ht="19.5" thickTop="1" x14ac:dyDescent="0.3">
      <c r="B46" s="9"/>
      <c r="F46" s="9">
        <v>0</v>
      </c>
      <c r="G46" s="9">
        <v>0</v>
      </c>
      <c r="J46" s="25">
        <f>F46-G46-I46</f>
        <v>0</v>
      </c>
      <c r="K46" s="32"/>
    </row>
    <row r="47" spans="1:14" x14ac:dyDescent="0.3">
      <c r="A47" s="5" t="s">
        <v>17</v>
      </c>
      <c r="B47" s="11">
        <f>SUM(B30:B46)</f>
        <v>1215375</v>
      </c>
      <c r="F47" s="11">
        <f>SUM(F3:F46)</f>
        <v>2313838</v>
      </c>
      <c r="G47" s="11"/>
      <c r="H47" s="1" t="s">
        <v>87</v>
      </c>
      <c r="I47" s="23">
        <f>I39+I43+I45</f>
        <v>493205.86000000004</v>
      </c>
      <c r="J47" s="23">
        <f t="shared" ref="J47:K47" si="3">J39+J43+J45</f>
        <v>1534038.17</v>
      </c>
      <c r="K47" s="23">
        <f t="shared" si="3"/>
        <v>1259732.77</v>
      </c>
      <c r="L47" s="25">
        <f>J47+I47+G20+G43</f>
        <v>2313838</v>
      </c>
    </row>
    <row r="48" spans="1:14" ht="19.5" thickBot="1" x14ac:dyDescent="0.35">
      <c r="A48" s="1" t="s">
        <v>18</v>
      </c>
      <c r="B48" s="2">
        <v>2313555</v>
      </c>
      <c r="F48" s="2">
        <v>2313838</v>
      </c>
      <c r="G48" s="2"/>
      <c r="H48" s="1" t="s">
        <v>72</v>
      </c>
      <c r="I48" s="24">
        <f>I47+G43+G20</f>
        <v>779799.83000000007</v>
      </c>
      <c r="J48" s="27">
        <f>F48-I48</f>
        <v>1534038.17</v>
      </c>
      <c r="K48" s="35">
        <f>K39+K43</f>
        <v>1259732.77</v>
      </c>
      <c r="L48" s="25">
        <f>J48+I48</f>
        <v>2313838</v>
      </c>
    </row>
    <row r="49" spans="6:10" ht="19.5" thickTop="1" x14ac:dyDescent="0.3">
      <c r="F49" s="14"/>
    </row>
    <row r="50" spans="6:10" x14ac:dyDescent="0.3">
      <c r="H50" s="1" t="s">
        <v>77</v>
      </c>
    </row>
    <row r="51" spans="6:10" x14ac:dyDescent="0.3">
      <c r="H51" s="1" t="s">
        <v>79</v>
      </c>
      <c r="J51" s="1">
        <v>2347</v>
      </c>
    </row>
    <row r="52" spans="6:10" x14ac:dyDescent="0.3">
      <c r="H52" s="1" t="s">
        <v>78</v>
      </c>
      <c r="J52" s="1">
        <v>52387</v>
      </c>
    </row>
    <row r="53" spans="6:10" x14ac:dyDescent="0.3">
      <c r="H53" s="1" t="s">
        <v>84</v>
      </c>
      <c r="J53" s="1">
        <v>49616</v>
      </c>
    </row>
    <row r="54" spans="6:10" ht="19.5" thickBot="1" x14ac:dyDescent="0.35">
      <c r="H54" s="1" t="s">
        <v>80</v>
      </c>
      <c r="J54" s="29">
        <f>SUM(J51:J53)</f>
        <v>104350</v>
      </c>
    </row>
    <row r="55" spans="6:10" ht="19.5" thickTop="1" x14ac:dyDescent="0.3"/>
    <row r="56" spans="6:10" ht="19.5" thickBot="1" x14ac:dyDescent="0.35">
      <c r="H56" s="1" t="s">
        <v>81</v>
      </c>
      <c r="J56" s="30">
        <f>J48+J54</f>
        <v>1638388.17</v>
      </c>
    </row>
    <row r="57" spans="6:10" ht="19.5" thickTop="1" x14ac:dyDescent="0.3">
      <c r="J57" s="14"/>
    </row>
    <row r="58" spans="6:10" x14ac:dyDescent="0.3">
      <c r="H58" s="1" t="s">
        <v>83</v>
      </c>
      <c r="J58" s="14">
        <v>-99931</v>
      </c>
    </row>
    <row r="59" spans="6:10" x14ac:dyDescent="0.3">
      <c r="H59" s="1" t="s">
        <v>82</v>
      </c>
      <c r="J59" s="14">
        <v>1738319.04</v>
      </c>
    </row>
    <row r="60" spans="6:10" ht="19.5" thickBot="1" x14ac:dyDescent="0.35">
      <c r="J60" s="30">
        <f>SUM(J58:J59)</f>
        <v>1638388.04</v>
      </c>
    </row>
    <row r="61" spans="6:10" ht="19.5" thickTop="1" x14ac:dyDescent="0.3"/>
  </sheetData>
  <sortState xmlns:xlrd2="http://schemas.microsoft.com/office/spreadsheetml/2017/richdata2" ref="A30:C46">
    <sortCondition descending="1" ref="B30:B46"/>
  </sortState>
  <printOptions gridLines="1"/>
  <pageMargins left="0.25" right="0.25" top="0.75" bottom="0.75" header="0.3" footer="0.3"/>
  <pageSetup paperSize="3" scale="54" fitToHeight="0" orientation="landscape" horizontalDpi="1200" verticalDpi="1200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17A67-EA73-4F77-82F0-0DF27085F2EE}">
  <dimension ref="A1:D48"/>
  <sheetViews>
    <sheetView zoomScaleNormal="100" workbookViewId="0">
      <selection activeCell="A25" sqref="A25"/>
    </sheetView>
  </sheetViews>
  <sheetFormatPr defaultRowHeight="18.75" x14ac:dyDescent="0.3"/>
  <cols>
    <col min="1" max="1" width="80.85546875" style="13" customWidth="1"/>
    <col min="2" max="2" width="19.7109375" style="43" customWidth="1"/>
    <col min="3" max="3" width="21.42578125" style="43" customWidth="1"/>
    <col min="4" max="4" width="17.42578125" style="1" customWidth="1"/>
  </cols>
  <sheetData>
    <row r="1" spans="1:4" s="39" customFormat="1" ht="37.5" x14ac:dyDescent="0.3">
      <c r="A1" s="38" t="s">
        <v>21</v>
      </c>
      <c r="B1" s="40"/>
      <c r="C1" s="41" t="s">
        <v>102</v>
      </c>
    </row>
    <row r="2" spans="1:4" x14ac:dyDescent="0.3">
      <c r="A2" s="49" t="s">
        <v>99</v>
      </c>
      <c r="B2" s="7" t="s">
        <v>98</v>
      </c>
      <c r="C2" s="42" t="s">
        <v>26</v>
      </c>
      <c r="D2" s="55" t="s">
        <v>101</v>
      </c>
    </row>
    <row r="3" spans="1:4" x14ac:dyDescent="0.3">
      <c r="A3" s="50"/>
      <c r="B3" s="8"/>
    </row>
    <row r="4" spans="1:4" x14ac:dyDescent="0.3">
      <c r="A4" s="51" t="s">
        <v>3</v>
      </c>
      <c r="B4" s="44">
        <v>64000</v>
      </c>
      <c r="C4" s="44">
        <f>46747.74+742.68+1464.57+3902.58</f>
        <v>52857.57</v>
      </c>
      <c r="D4" s="56">
        <f>B4-C4</f>
        <v>11142.43</v>
      </c>
    </row>
    <row r="5" spans="1:4" x14ac:dyDescent="0.3">
      <c r="A5" s="51" t="s">
        <v>16</v>
      </c>
      <c r="B5" s="44">
        <v>301251</v>
      </c>
      <c r="C5" s="44">
        <f>105000+4450+2225+2225+187660.5+2225+3690+4850+4850+5930</f>
        <v>323105.5</v>
      </c>
      <c r="D5" s="56">
        <f t="shared" ref="D5:D44" si="0">B5-C5</f>
        <v>-21854.5</v>
      </c>
    </row>
    <row r="6" spans="1:4" x14ac:dyDescent="0.3">
      <c r="A6" s="51"/>
      <c r="B6" s="44"/>
      <c r="C6" s="44"/>
      <c r="D6" s="56"/>
    </row>
    <row r="7" spans="1:4" x14ac:dyDescent="0.3">
      <c r="A7" s="51"/>
      <c r="B7" s="44"/>
      <c r="C7" s="44"/>
      <c r="D7" s="56"/>
    </row>
    <row r="8" spans="1:4" ht="26.25" customHeight="1" x14ac:dyDescent="0.3">
      <c r="A8" s="13" t="s">
        <v>28</v>
      </c>
      <c r="B8" s="44">
        <v>132500</v>
      </c>
      <c r="C8" s="44">
        <v>26500</v>
      </c>
      <c r="D8" s="56">
        <f>B8-C8-C9-C10-C11-C12</f>
        <v>1658.8399999999965</v>
      </c>
    </row>
    <row r="9" spans="1:4" ht="27.75" customHeight="1" x14ac:dyDescent="0.3">
      <c r="A9" s="13" t="s">
        <v>28</v>
      </c>
      <c r="B9" s="44"/>
      <c r="C9" s="44">
        <v>24841.16</v>
      </c>
      <c r="D9" s="56"/>
    </row>
    <row r="10" spans="1:4" ht="26.25" customHeight="1" x14ac:dyDescent="0.3">
      <c r="A10" s="13" t="s">
        <v>28</v>
      </c>
      <c r="B10" s="44"/>
      <c r="C10" s="44">
        <v>26500</v>
      </c>
      <c r="D10" s="56"/>
    </row>
    <row r="11" spans="1:4" ht="27" customHeight="1" x14ac:dyDescent="0.3">
      <c r="A11" s="13" t="s">
        <v>28</v>
      </c>
      <c r="B11" s="44"/>
      <c r="C11" s="44">
        <v>26500</v>
      </c>
      <c r="D11" s="56"/>
    </row>
    <row r="12" spans="1:4" ht="26.25" customHeight="1" x14ac:dyDescent="0.3">
      <c r="A12" s="13" t="s">
        <v>28</v>
      </c>
      <c r="B12" s="44"/>
      <c r="C12" s="44">
        <v>26500</v>
      </c>
      <c r="D12" s="56"/>
    </row>
    <row r="13" spans="1:4" x14ac:dyDescent="0.3">
      <c r="B13" s="44"/>
      <c r="C13" s="44"/>
      <c r="D13" s="56"/>
    </row>
    <row r="14" spans="1:4" x14ac:dyDescent="0.3">
      <c r="B14" s="44"/>
      <c r="C14" s="44"/>
      <c r="D14" s="56"/>
    </row>
    <row r="15" spans="1:4" x14ac:dyDescent="0.3">
      <c r="A15" s="13" t="s">
        <v>12</v>
      </c>
      <c r="B15" s="44">
        <v>83330</v>
      </c>
      <c r="C15" s="44">
        <v>83330</v>
      </c>
      <c r="D15" s="56">
        <f t="shared" si="0"/>
        <v>0</v>
      </c>
    </row>
    <row r="16" spans="1:4" x14ac:dyDescent="0.3">
      <c r="A16" s="52" t="s">
        <v>10</v>
      </c>
      <c r="B16" s="44">
        <v>34000</v>
      </c>
      <c r="C16" s="44">
        <f>475+692+682+173+173+173+432.5+778.5+258</f>
        <v>3837</v>
      </c>
      <c r="D16" s="56">
        <f t="shared" si="0"/>
        <v>30163</v>
      </c>
    </row>
    <row r="17" spans="1:4" x14ac:dyDescent="0.3">
      <c r="A17" s="51" t="s">
        <v>38</v>
      </c>
      <c r="B17" s="44">
        <v>85000</v>
      </c>
      <c r="C17" s="44">
        <f>5000+5000+5000+5000+5000+5000+5000</f>
        <v>35000</v>
      </c>
      <c r="D17" s="56">
        <f t="shared" si="0"/>
        <v>50000</v>
      </c>
    </row>
    <row r="18" spans="1:4" x14ac:dyDescent="0.3">
      <c r="A18" s="51" t="s">
        <v>9</v>
      </c>
      <c r="B18" s="44">
        <v>50000</v>
      </c>
      <c r="C18" s="44">
        <v>50000</v>
      </c>
      <c r="D18" s="56">
        <f t="shared" si="0"/>
        <v>0</v>
      </c>
    </row>
    <row r="19" spans="1:4" ht="20.25" customHeight="1" x14ac:dyDescent="0.3">
      <c r="A19" s="52" t="s">
        <v>57</v>
      </c>
      <c r="B19" s="44">
        <v>225000</v>
      </c>
      <c r="C19" s="48">
        <f>64.09+31.94+1200+1114.14+1291.8+1291.8+1178.77+1259.51+1291.8+1291.8+1291.8+1291.8+1291.8+1291.8+1291.8+1291.8+1291.8+1265+1033.44+1146.47+1259.51+1289.22+1283.73+1283.73+1194.92+886.83+26.6+997.5+14.46+61.85+1897.54+1873.28+2083.24+2075.17+73.4+90.4+48.14+2204.35+5</f>
        <v>41152.029999999992</v>
      </c>
      <c r="D19" s="56">
        <f t="shared" si="0"/>
        <v>183847.97</v>
      </c>
    </row>
    <row r="20" spans="1:4" x14ac:dyDescent="0.3">
      <c r="A20" s="52" t="s">
        <v>11</v>
      </c>
      <c r="B20" s="44">
        <v>86050</v>
      </c>
      <c r="C20" s="45">
        <f>16983+9775+59292</f>
        <v>86050</v>
      </c>
      <c r="D20" s="56">
        <f t="shared" si="0"/>
        <v>0</v>
      </c>
    </row>
    <row r="21" spans="1:4" x14ac:dyDescent="0.3">
      <c r="A21" s="53"/>
      <c r="B21" s="44"/>
      <c r="C21" s="45"/>
      <c r="D21" s="56"/>
    </row>
    <row r="22" spans="1:4" x14ac:dyDescent="0.3">
      <c r="A22" s="52"/>
      <c r="B22" s="44"/>
      <c r="C22" s="44"/>
      <c r="D22" s="56"/>
    </row>
    <row r="23" spans="1:4" x14ac:dyDescent="0.3">
      <c r="A23" s="13" t="s">
        <v>54</v>
      </c>
      <c r="B23" s="44">
        <v>34000</v>
      </c>
      <c r="C23" s="44">
        <f>13025+11163+9812</f>
        <v>34000</v>
      </c>
      <c r="D23" s="56">
        <f t="shared" si="0"/>
        <v>0</v>
      </c>
    </row>
    <row r="24" spans="1:4" x14ac:dyDescent="0.3">
      <c r="A24" s="51" t="s">
        <v>5</v>
      </c>
      <c r="B24" s="44">
        <v>50000</v>
      </c>
      <c r="C24" s="48">
        <f>44541+471.84+4081+5459+368+101.98+1307.1</f>
        <v>56329.919999999998</v>
      </c>
      <c r="D24" s="56">
        <f t="shared" si="0"/>
        <v>-6329.9199999999983</v>
      </c>
    </row>
    <row r="25" spans="1:4" x14ac:dyDescent="0.3">
      <c r="A25" s="51" t="s">
        <v>8</v>
      </c>
      <c r="B25" s="44">
        <v>10000</v>
      </c>
      <c r="C25" s="44">
        <v>0</v>
      </c>
      <c r="D25" s="56">
        <f t="shared" si="0"/>
        <v>10000</v>
      </c>
    </row>
    <row r="26" spans="1:4" x14ac:dyDescent="0.3">
      <c r="A26" s="51" t="s">
        <v>68</v>
      </c>
      <c r="B26" s="44">
        <v>35000</v>
      </c>
      <c r="C26" s="44">
        <f>5000+5000+4983.41</f>
        <v>14983.41</v>
      </c>
      <c r="D26" s="56">
        <f t="shared" si="0"/>
        <v>20016.59</v>
      </c>
    </row>
    <row r="27" spans="1:4" x14ac:dyDescent="0.3">
      <c r="A27" s="51"/>
      <c r="B27" s="44"/>
      <c r="C27" s="44"/>
      <c r="D27" s="56"/>
    </row>
    <row r="28" spans="1:4" x14ac:dyDescent="0.3">
      <c r="A28" s="50"/>
      <c r="B28" s="44"/>
      <c r="C28" s="44"/>
      <c r="D28" s="56"/>
    </row>
    <row r="29" spans="1:4" ht="37.5" x14ac:dyDescent="0.3">
      <c r="A29" s="51" t="s">
        <v>44</v>
      </c>
      <c r="B29" s="44">
        <v>500000</v>
      </c>
      <c r="C29" s="44">
        <f>5404.4+510.06+252.09-30+555.27+1569.41</f>
        <v>8261.23</v>
      </c>
      <c r="D29" s="56">
        <f t="shared" si="0"/>
        <v>491738.77</v>
      </c>
    </row>
    <row r="30" spans="1:4" x14ac:dyDescent="0.3">
      <c r="A30" s="51" t="s">
        <v>13</v>
      </c>
      <c r="B30" s="44">
        <v>150000</v>
      </c>
      <c r="C30" s="44">
        <v>0</v>
      </c>
      <c r="D30" s="56">
        <f t="shared" si="0"/>
        <v>150000</v>
      </c>
    </row>
    <row r="31" spans="1:4" ht="42.75" customHeight="1" x14ac:dyDescent="0.3">
      <c r="A31" s="51" t="s">
        <v>103</v>
      </c>
      <c r="B31" s="44">
        <v>40500</v>
      </c>
      <c r="C31" s="44">
        <v>0</v>
      </c>
      <c r="D31" s="56">
        <f t="shared" si="0"/>
        <v>40500</v>
      </c>
    </row>
    <row r="32" spans="1:4" x14ac:dyDescent="0.3">
      <c r="A32" s="51" t="s">
        <v>6</v>
      </c>
      <c r="B32" s="44">
        <v>99234</v>
      </c>
      <c r="C32" s="44">
        <v>0</v>
      </c>
      <c r="D32" s="56">
        <f t="shared" si="0"/>
        <v>99234</v>
      </c>
    </row>
    <row r="33" spans="1:4" x14ac:dyDescent="0.3">
      <c r="A33" s="51" t="s">
        <v>4</v>
      </c>
      <c r="B33" s="44">
        <v>24000</v>
      </c>
      <c r="C33" s="48">
        <f>2479+5031+363+363</f>
        <v>8236</v>
      </c>
      <c r="D33" s="56">
        <f t="shared" si="0"/>
        <v>15764</v>
      </c>
    </row>
    <row r="34" spans="1:4" x14ac:dyDescent="0.3">
      <c r="A34" s="51" t="s">
        <v>69</v>
      </c>
      <c r="B34" s="44">
        <v>40000</v>
      </c>
      <c r="C34" s="44">
        <v>0</v>
      </c>
      <c r="D34" s="56">
        <f t="shared" si="0"/>
        <v>40000</v>
      </c>
    </row>
    <row r="35" spans="1:4" x14ac:dyDescent="0.3">
      <c r="A35" s="51" t="s">
        <v>73</v>
      </c>
      <c r="B35" s="44">
        <v>25000</v>
      </c>
      <c r="C35" s="44">
        <v>13589.34</v>
      </c>
      <c r="D35" s="56">
        <f t="shared" si="0"/>
        <v>11410.66</v>
      </c>
    </row>
    <row r="36" spans="1:4" x14ac:dyDescent="0.3">
      <c r="A36" s="51" t="s">
        <v>74</v>
      </c>
      <c r="B36" s="44">
        <v>65000</v>
      </c>
      <c r="C36" s="44">
        <f>15500+16782+10097</f>
        <v>42379</v>
      </c>
      <c r="D36" s="56">
        <f t="shared" si="0"/>
        <v>22621</v>
      </c>
    </row>
    <row r="37" spans="1:4" x14ac:dyDescent="0.3">
      <c r="A37" s="53"/>
      <c r="B37" s="44"/>
      <c r="C37" s="44"/>
      <c r="D37" s="56"/>
    </row>
    <row r="38" spans="1:4" x14ac:dyDescent="0.3">
      <c r="A38" s="51"/>
      <c r="B38" s="44"/>
      <c r="C38" s="44"/>
      <c r="D38" s="56"/>
    </row>
    <row r="39" spans="1:4" x14ac:dyDescent="0.3">
      <c r="A39" s="51"/>
      <c r="B39" s="44"/>
      <c r="C39" s="44"/>
      <c r="D39" s="56"/>
    </row>
    <row r="40" spans="1:4" x14ac:dyDescent="0.3">
      <c r="A40" s="53" t="s">
        <v>100</v>
      </c>
      <c r="B40" s="44"/>
      <c r="C40" s="45"/>
      <c r="D40" s="56"/>
    </row>
    <row r="41" spans="1:4" x14ac:dyDescent="0.3">
      <c r="A41" s="51" t="s">
        <v>104</v>
      </c>
      <c r="B41" s="44">
        <v>142675</v>
      </c>
      <c r="C41" s="46">
        <f>12174.23+37161.02+9684.06</f>
        <v>59019.31</v>
      </c>
      <c r="D41" s="56">
        <f t="shared" si="0"/>
        <v>83655.69</v>
      </c>
    </row>
    <row r="42" spans="1:4" x14ac:dyDescent="0.3">
      <c r="A42" s="51"/>
      <c r="B42" s="44"/>
      <c r="C42" s="44"/>
      <c r="D42" s="56"/>
    </row>
    <row r="43" spans="1:4" x14ac:dyDescent="0.3">
      <c r="A43" s="54"/>
      <c r="B43" s="46"/>
      <c r="C43" s="46"/>
      <c r="D43" s="56"/>
    </row>
    <row r="44" spans="1:4" x14ac:dyDescent="0.3">
      <c r="A44" s="51" t="s">
        <v>17</v>
      </c>
      <c r="B44" s="47">
        <f>SUM(B4:B41)</f>
        <v>2276540</v>
      </c>
      <c r="C44" s="47">
        <f>SUM(C4:C43)</f>
        <v>1042971.47</v>
      </c>
      <c r="D44" s="57">
        <f t="shared" si="0"/>
        <v>1233568.53</v>
      </c>
    </row>
    <row r="45" spans="1:4" x14ac:dyDescent="0.3">
      <c r="A45" s="51"/>
      <c r="B45" s="47"/>
      <c r="C45" s="46"/>
      <c r="D45" s="56"/>
    </row>
    <row r="46" spans="1:4" x14ac:dyDescent="0.3">
      <c r="A46" s="13" t="s">
        <v>18</v>
      </c>
      <c r="B46" s="47">
        <v>2313838</v>
      </c>
      <c r="C46" s="48"/>
    </row>
    <row r="48" spans="1:4" x14ac:dyDescent="0.3">
      <c r="B48" s="46">
        <f>B46-B44</f>
        <v>37298</v>
      </c>
      <c r="C48" s="46">
        <f>B46-C44</f>
        <v>1270866.53</v>
      </c>
    </row>
  </sheetData>
  <printOptions horizontalCentered="1" verticalCentered="1" gridLines="1"/>
  <pageMargins left="0.7" right="0.7" top="0.75" bottom="0.75" header="0.3" footer="0.3"/>
  <pageSetup scale="58" orientation="portrait" horizontalDpi="1200" verticalDpi="1200" r:id="rId1"/>
  <headerFooter>
    <oddHeader>&amp;C&amp;14ARPA Funding
WIP</oddHeader>
    <oddFooter>&amp;L&amp;D&amp;R&amp;Z&amp;F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0FF8D-281C-47BD-B8DC-F8A8339CAD86}">
  <dimension ref="A1:D49"/>
  <sheetViews>
    <sheetView topLeftCell="A23" zoomScaleNormal="100" workbookViewId="0">
      <selection activeCell="B46" sqref="B46"/>
    </sheetView>
  </sheetViews>
  <sheetFormatPr defaultRowHeight="18.75" x14ac:dyDescent="0.3"/>
  <cols>
    <col min="1" max="1" width="81.85546875" style="13" customWidth="1"/>
    <col min="2" max="2" width="19.7109375" style="43" customWidth="1"/>
    <col min="3" max="3" width="21.42578125" style="43" customWidth="1"/>
    <col min="4" max="4" width="17.42578125" style="1" customWidth="1"/>
  </cols>
  <sheetData>
    <row r="1" spans="1:4" ht="37.5" x14ac:dyDescent="0.3">
      <c r="A1" s="38" t="s">
        <v>21</v>
      </c>
      <c r="B1" s="40"/>
      <c r="C1" s="41" t="s">
        <v>105</v>
      </c>
      <c r="D1" s="39"/>
    </row>
    <row r="2" spans="1:4" x14ac:dyDescent="0.3">
      <c r="A2" s="49" t="s">
        <v>99</v>
      </c>
      <c r="B2" s="7" t="s">
        <v>98</v>
      </c>
      <c r="C2" s="42" t="s">
        <v>26</v>
      </c>
      <c r="D2" s="55" t="s">
        <v>101</v>
      </c>
    </row>
    <row r="3" spans="1:4" x14ac:dyDescent="0.3">
      <c r="A3" s="62" t="s">
        <v>106</v>
      </c>
      <c r="B3" s="8"/>
    </row>
    <row r="4" spans="1:4" x14ac:dyDescent="0.3">
      <c r="A4" s="58" t="s">
        <v>115</v>
      </c>
      <c r="B4" s="59">
        <v>64000</v>
      </c>
      <c r="C4" s="59">
        <f>46747.74+742.68+1225.35+1464.57+3902.58+71193.33-61276.25</f>
        <v>64000</v>
      </c>
      <c r="D4" s="60">
        <f>B4-C4</f>
        <v>0</v>
      </c>
    </row>
    <row r="5" spans="1:4" x14ac:dyDescent="0.3">
      <c r="A5" s="58" t="s">
        <v>16</v>
      </c>
      <c r="B5" s="59">
        <v>301561</v>
      </c>
      <c r="C5" s="59">
        <f>105000+4450+2225+187660.5+2225+3690+4850+4850+5930</f>
        <v>320880.5</v>
      </c>
      <c r="D5" s="60">
        <f t="shared" ref="D5:D44" si="0">B5-C5</f>
        <v>-19319.5</v>
      </c>
    </row>
    <row r="6" spans="1:4" x14ac:dyDescent="0.3">
      <c r="A6" s="51"/>
      <c r="B6" s="44"/>
      <c r="C6" s="44"/>
      <c r="D6" s="56"/>
    </row>
    <row r="7" spans="1:4" x14ac:dyDescent="0.3">
      <c r="A7" s="51"/>
      <c r="B7" s="44"/>
      <c r="C7" s="44"/>
      <c r="D7" s="56"/>
    </row>
    <row r="8" spans="1:4" ht="27.75" customHeight="1" x14ac:dyDescent="0.3">
      <c r="A8" s="58" t="s">
        <v>114</v>
      </c>
      <c r="B8" s="44">
        <v>132500</v>
      </c>
      <c r="C8" s="59">
        <v>26500</v>
      </c>
    </row>
    <row r="9" spans="1:4" ht="18.75" customHeight="1" x14ac:dyDescent="0.3">
      <c r="A9" s="13" t="s">
        <v>28</v>
      </c>
      <c r="B9" s="44"/>
      <c r="C9" s="44">
        <v>24841.16</v>
      </c>
      <c r="D9" s="56">
        <f>B8-C8-C9-C10-C11-C12</f>
        <v>1658.8399999999965</v>
      </c>
    </row>
    <row r="10" spans="1:4" ht="20.25" customHeight="1" x14ac:dyDescent="0.3">
      <c r="A10" s="58" t="s">
        <v>114</v>
      </c>
      <c r="B10" s="44"/>
      <c r="C10" s="59">
        <v>26500</v>
      </c>
      <c r="D10" s="56"/>
    </row>
    <row r="11" spans="1:4" ht="18.75" customHeight="1" x14ac:dyDescent="0.3">
      <c r="A11" s="58" t="s">
        <v>114</v>
      </c>
      <c r="B11" s="44"/>
      <c r="C11" s="59">
        <v>26500</v>
      </c>
      <c r="D11" s="56"/>
    </row>
    <row r="12" spans="1:4" ht="18" customHeight="1" x14ac:dyDescent="0.3">
      <c r="A12" s="58" t="s">
        <v>114</v>
      </c>
      <c r="B12" s="44"/>
      <c r="C12" s="59">
        <v>26500</v>
      </c>
      <c r="D12" s="56"/>
    </row>
    <row r="13" spans="1:4" x14ac:dyDescent="0.3">
      <c r="B13" s="44"/>
      <c r="C13" s="44"/>
      <c r="D13" s="56"/>
    </row>
    <row r="14" spans="1:4" x14ac:dyDescent="0.3">
      <c r="B14" s="44"/>
      <c r="C14" s="44"/>
      <c r="D14" s="56"/>
    </row>
    <row r="15" spans="1:4" x14ac:dyDescent="0.3">
      <c r="A15" s="58" t="s">
        <v>110</v>
      </c>
      <c r="B15" s="59">
        <v>83330</v>
      </c>
      <c r="C15" s="59">
        <v>83330</v>
      </c>
      <c r="D15" s="60">
        <f t="shared" si="0"/>
        <v>0</v>
      </c>
    </row>
    <row r="16" spans="1:4" x14ac:dyDescent="0.3">
      <c r="A16" s="52" t="s">
        <v>10</v>
      </c>
      <c r="B16" s="44">
        <v>34000</v>
      </c>
      <c r="C16" s="44">
        <f>475+692+682+173+173+173+432.5+778.5+258+336</f>
        <v>4173</v>
      </c>
      <c r="D16" s="56">
        <f t="shared" si="0"/>
        <v>29827</v>
      </c>
    </row>
    <row r="17" spans="1:4" x14ac:dyDescent="0.3">
      <c r="A17" s="51" t="s">
        <v>38</v>
      </c>
      <c r="B17" s="44">
        <v>85000</v>
      </c>
      <c r="C17" s="44">
        <f>5000+5000+5000+5000+5000+5000+5000</f>
        <v>35000</v>
      </c>
      <c r="D17" s="56">
        <f t="shared" si="0"/>
        <v>50000</v>
      </c>
    </row>
    <row r="18" spans="1:4" x14ac:dyDescent="0.3">
      <c r="A18" s="58" t="s">
        <v>111</v>
      </c>
      <c r="B18" s="59">
        <v>50000</v>
      </c>
      <c r="C18" s="59">
        <v>50000</v>
      </c>
      <c r="D18" s="60">
        <f t="shared" si="0"/>
        <v>0</v>
      </c>
    </row>
    <row r="19" spans="1:4" ht="24.75" customHeight="1" x14ac:dyDescent="0.3">
      <c r="A19" s="52" t="s">
        <v>57</v>
      </c>
      <c r="B19" s="44">
        <v>225000</v>
      </c>
      <c r="C19" s="48">
        <f>64.09+31.94+1200+1114.14+1291.8+1291.8+1178.77+1259.51+1291.8+1291.8+1291.8+1291.8+1291.8+1291.8+1291.8+1291.8+1291.8+1265+1033.44+1146.47+1259.51+1289.22+1283.73+1283.73+1194.92+886.83+26.6+997.5+14.46+61.85+1897.54+1873.28+2083.24+2075.17+73.4+90.4+48.14+510.06-30+5+2204.35+2220.64+2054.42+2154.09+1683.16</f>
        <v>49744.399999999994</v>
      </c>
      <c r="D19" s="56">
        <f t="shared" si="0"/>
        <v>175255.6</v>
      </c>
    </row>
    <row r="20" spans="1:4" x14ac:dyDescent="0.3">
      <c r="A20" s="58" t="s">
        <v>112</v>
      </c>
      <c r="B20" s="59">
        <v>86050</v>
      </c>
      <c r="C20" s="61">
        <f>16983+9775+59292</f>
        <v>86050</v>
      </c>
      <c r="D20" s="60">
        <f t="shared" si="0"/>
        <v>0</v>
      </c>
    </row>
    <row r="21" spans="1:4" x14ac:dyDescent="0.3">
      <c r="A21" s="53"/>
      <c r="B21" s="44"/>
      <c r="C21" s="45"/>
      <c r="D21" s="56"/>
    </row>
    <row r="22" spans="1:4" x14ac:dyDescent="0.3">
      <c r="A22" s="52"/>
      <c r="B22" s="44"/>
      <c r="C22" s="44"/>
      <c r="D22" s="56"/>
    </row>
    <row r="23" spans="1:4" x14ac:dyDescent="0.3">
      <c r="A23" s="58" t="s">
        <v>113</v>
      </c>
      <c r="B23" s="59">
        <v>34000</v>
      </c>
      <c r="C23" s="59">
        <f>13025+11163+9812</f>
        <v>34000</v>
      </c>
      <c r="D23" s="60">
        <f t="shared" si="0"/>
        <v>0</v>
      </c>
    </row>
    <row r="24" spans="1:4" x14ac:dyDescent="0.3">
      <c r="A24" s="51" t="s">
        <v>5</v>
      </c>
      <c r="B24" s="44">
        <v>50000</v>
      </c>
      <c r="C24" s="48">
        <f>44541+471.84+4081+5459+1542.9+368+101.98+1307.1</f>
        <v>57872.82</v>
      </c>
      <c r="D24" s="56">
        <f t="shared" si="0"/>
        <v>-7872.82</v>
      </c>
    </row>
    <row r="25" spans="1:4" x14ac:dyDescent="0.3">
      <c r="A25" s="51" t="s">
        <v>8</v>
      </c>
      <c r="B25" s="44">
        <v>10000</v>
      </c>
      <c r="C25" s="44">
        <v>0</v>
      </c>
      <c r="D25" s="56">
        <f t="shared" si="0"/>
        <v>10000</v>
      </c>
    </row>
    <row r="26" spans="1:4" x14ac:dyDescent="0.3">
      <c r="A26" s="51" t="s">
        <v>68</v>
      </c>
      <c r="B26" s="44">
        <v>40000</v>
      </c>
      <c r="C26" s="44">
        <f>5000+5000+4983.41+1436.98</f>
        <v>16420.39</v>
      </c>
      <c r="D26" s="56">
        <f t="shared" si="0"/>
        <v>23579.61</v>
      </c>
    </row>
    <row r="27" spans="1:4" x14ac:dyDescent="0.3">
      <c r="A27" s="51"/>
      <c r="B27" s="44"/>
      <c r="C27" s="44"/>
      <c r="D27" s="56"/>
    </row>
    <row r="28" spans="1:4" x14ac:dyDescent="0.3">
      <c r="A28" s="50"/>
      <c r="B28" s="44"/>
      <c r="C28" s="44"/>
      <c r="D28" s="56"/>
    </row>
    <row r="29" spans="1:4" ht="37.5" x14ac:dyDescent="0.3">
      <c r="A29" s="51" t="s">
        <v>44</v>
      </c>
      <c r="B29" s="44">
        <v>500000</v>
      </c>
      <c r="C29" s="44">
        <f>5404.4+215.96+28.4+7.73+555.27+1569.41</f>
        <v>7781.1699999999983</v>
      </c>
      <c r="D29" s="56">
        <f t="shared" si="0"/>
        <v>492218.83</v>
      </c>
    </row>
    <row r="30" spans="1:4" x14ac:dyDescent="0.3">
      <c r="A30" s="51" t="s">
        <v>107</v>
      </c>
      <c r="B30" s="44">
        <v>150000</v>
      </c>
      <c r="C30" s="44">
        <v>0</v>
      </c>
      <c r="D30" s="56">
        <f t="shared" si="0"/>
        <v>150000</v>
      </c>
    </row>
    <row r="31" spans="1:4" ht="37.5" x14ac:dyDescent="0.3">
      <c r="A31" s="51" t="s">
        <v>103</v>
      </c>
      <c r="B31" s="44">
        <v>40500</v>
      </c>
      <c r="C31" s="44">
        <v>0</v>
      </c>
      <c r="D31" s="56">
        <f t="shared" si="0"/>
        <v>40500</v>
      </c>
    </row>
    <row r="32" spans="1:4" x14ac:dyDescent="0.3">
      <c r="A32" s="51" t="s">
        <v>6</v>
      </c>
      <c r="B32" s="44">
        <v>99234</v>
      </c>
      <c r="C32" s="44">
        <v>0</v>
      </c>
      <c r="D32" s="56">
        <f t="shared" si="0"/>
        <v>99234</v>
      </c>
    </row>
    <row r="33" spans="1:4" x14ac:dyDescent="0.3">
      <c r="A33" s="51" t="s">
        <v>4</v>
      </c>
      <c r="B33" s="44">
        <v>24000</v>
      </c>
      <c r="C33" s="48">
        <f>2479+5031+363+363</f>
        <v>8236</v>
      </c>
      <c r="D33" s="56">
        <f t="shared" si="0"/>
        <v>15764</v>
      </c>
    </row>
    <row r="34" spans="1:4" x14ac:dyDescent="0.3">
      <c r="A34" s="51" t="s">
        <v>69</v>
      </c>
      <c r="B34" s="44">
        <v>40000</v>
      </c>
      <c r="C34" s="44">
        <v>0</v>
      </c>
      <c r="D34" s="56">
        <f t="shared" si="0"/>
        <v>40000</v>
      </c>
    </row>
    <row r="35" spans="1:4" x14ac:dyDescent="0.3">
      <c r="A35" s="51" t="s">
        <v>73</v>
      </c>
      <c r="B35" s="44">
        <v>25000</v>
      </c>
      <c r="C35" s="44">
        <f>31.58+48.96+273.15+9.99+212.98+165.36+31+268.94+129.98+3.24+942.5+64.99-21.99-28.98+3589.34+10000</f>
        <v>15721.04</v>
      </c>
      <c r="D35" s="56">
        <f t="shared" si="0"/>
        <v>9278.9599999999991</v>
      </c>
    </row>
    <row r="36" spans="1:4" x14ac:dyDescent="0.3">
      <c r="A36" s="51" t="s">
        <v>74</v>
      </c>
      <c r="B36" s="44">
        <v>65000</v>
      </c>
      <c r="C36" s="44">
        <f>15500+16782+10097</f>
        <v>42379</v>
      </c>
      <c r="D36" s="56">
        <f t="shared" si="0"/>
        <v>22621</v>
      </c>
    </row>
    <row r="37" spans="1:4" x14ac:dyDescent="0.3">
      <c r="A37" s="53"/>
      <c r="B37" s="44"/>
      <c r="C37" s="44"/>
      <c r="D37" s="56"/>
    </row>
    <row r="38" spans="1:4" x14ac:dyDescent="0.3">
      <c r="A38" s="51"/>
      <c r="B38" s="44"/>
      <c r="C38" s="44"/>
      <c r="D38" s="56"/>
    </row>
    <row r="39" spans="1:4" x14ac:dyDescent="0.3">
      <c r="A39" s="51"/>
      <c r="B39" s="44"/>
      <c r="C39" s="44"/>
      <c r="D39" s="56"/>
    </row>
    <row r="40" spans="1:4" x14ac:dyDescent="0.3">
      <c r="A40" s="53" t="s">
        <v>100</v>
      </c>
      <c r="B40" s="44"/>
      <c r="C40" s="45"/>
      <c r="D40" s="56"/>
    </row>
    <row r="41" spans="1:4" x14ac:dyDescent="0.3">
      <c r="A41" s="51" t="s">
        <v>104</v>
      </c>
      <c r="B41" s="44">
        <v>142675</v>
      </c>
      <c r="C41" s="46">
        <f>12174.23+37161.02+9684.06</f>
        <v>59019.31</v>
      </c>
      <c r="D41" s="56">
        <f t="shared" si="0"/>
        <v>83655.69</v>
      </c>
    </row>
    <row r="42" spans="1:4" x14ac:dyDescent="0.3">
      <c r="A42" s="51"/>
      <c r="B42" s="44"/>
      <c r="C42" s="44"/>
      <c r="D42" s="56"/>
    </row>
    <row r="43" spans="1:4" x14ac:dyDescent="0.3">
      <c r="A43" s="54"/>
      <c r="B43" s="46"/>
      <c r="C43" s="46"/>
      <c r="D43" s="56"/>
    </row>
    <row r="44" spans="1:4" x14ac:dyDescent="0.3">
      <c r="A44" s="51" t="s">
        <v>17</v>
      </c>
      <c r="B44" s="47">
        <f>SUM(B4:B41)</f>
        <v>2281850</v>
      </c>
      <c r="C44" s="47">
        <f>SUM(C4:C43)</f>
        <v>1065448.79</v>
      </c>
      <c r="D44" s="57">
        <f t="shared" si="0"/>
        <v>1216401.21</v>
      </c>
    </row>
    <row r="45" spans="1:4" x14ac:dyDescent="0.3">
      <c r="A45" s="51"/>
      <c r="B45" s="47"/>
      <c r="C45" s="46"/>
      <c r="D45" s="56"/>
    </row>
    <row r="46" spans="1:4" x14ac:dyDescent="0.3">
      <c r="A46" s="13" t="s">
        <v>18</v>
      </c>
      <c r="B46" s="47">
        <v>2313838</v>
      </c>
      <c r="C46" s="48"/>
    </row>
    <row r="48" spans="1:4" x14ac:dyDescent="0.3">
      <c r="B48" s="46">
        <f>B46-B44</f>
        <v>31988</v>
      </c>
      <c r="C48" s="46">
        <f>B46-C44</f>
        <v>1248389.21</v>
      </c>
    </row>
    <row r="49" spans="2:3" x14ac:dyDescent="0.3">
      <c r="B49" s="43" t="s">
        <v>108</v>
      </c>
      <c r="C49" s="43" t="s">
        <v>109</v>
      </c>
    </row>
  </sheetData>
  <printOptions gridLines="1"/>
  <pageMargins left="0.7" right="0.7" top="0.75" bottom="0.75" header="0.3" footer="0.3"/>
  <pageSetup scale="65" orientation="portrait" horizontalDpi="1200" verticalDpi="1200" r:id="rId1"/>
  <headerFooter>
    <oddFooter>&amp;L&amp;D&amp;C&amp;A&amp;R&amp;F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F50FB-DAEC-4BE6-B966-21D4BEADFB1A}">
  <dimension ref="A1:E44"/>
  <sheetViews>
    <sheetView zoomScaleNormal="100" workbookViewId="0">
      <selection sqref="A1:E1048576"/>
    </sheetView>
  </sheetViews>
  <sheetFormatPr defaultRowHeight="15.75" x14ac:dyDescent="0.25"/>
  <cols>
    <col min="1" max="1" width="68.85546875" style="73" customWidth="1"/>
    <col min="2" max="2" width="17.140625" style="75" customWidth="1"/>
    <col min="3" max="3" width="18.140625" style="75" customWidth="1"/>
    <col min="4" max="4" width="16.5703125" style="75" customWidth="1"/>
    <col min="5" max="5" width="16.7109375" style="68" customWidth="1"/>
  </cols>
  <sheetData>
    <row r="1" spans="1:5" ht="31.5" customHeight="1" x14ac:dyDescent="0.25">
      <c r="A1" s="64" t="s">
        <v>21</v>
      </c>
      <c r="B1" s="65"/>
      <c r="C1" s="66" t="s">
        <v>124</v>
      </c>
      <c r="D1" s="67"/>
      <c r="E1" s="75" t="s">
        <v>124</v>
      </c>
    </row>
    <row r="2" spans="1:5" x14ac:dyDescent="0.25">
      <c r="A2" s="69" t="s">
        <v>99</v>
      </c>
      <c r="B2" s="70" t="s">
        <v>98</v>
      </c>
      <c r="C2" s="71" t="s">
        <v>26</v>
      </c>
      <c r="D2" s="72" t="s">
        <v>101</v>
      </c>
      <c r="E2" s="71" t="s">
        <v>123</v>
      </c>
    </row>
    <row r="3" spans="1:5" x14ac:dyDescent="0.25">
      <c r="B3" s="74"/>
    </row>
    <row r="4" spans="1:5" x14ac:dyDescent="0.25">
      <c r="A4" s="76" t="s">
        <v>107</v>
      </c>
      <c r="B4" s="77">
        <v>150000</v>
      </c>
      <c r="C4" s="77">
        <v>0</v>
      </c>
      <c r="D4" s="78">
        <f t="shared" ref="D4:D16" si="0">B4-C4</f>
        <v>150000</v>
      </c>
      <c r="E4" s="79">
        <v>0</v>
      </c>
    </row>
    <row r="5" spans="1:5" ht="21.75" customHeight="1" x14ac:dyDescent="0.25">
      <c r="A5" s="73" t="s">
        <v>116</v>
      </c>
      <c r="B5" s="77">
        <v>26500</v>
      </c>
      <c r="C5" s="77">
        <v>24841.16</v>
      </c>
      <c r="D5" s="78">
        <f t="shared" si="0"/>
        <v>1658.8400000000001</v>
      </c>
      <c r="E5" s="79">
        <v>0</v>
      </c>
    </row>
    <row r="6" spans="1:5" ht="21" customHeight="1" x14ac:dyDescent="0.25">
      <c r="A6" s="80" t="s">
        <v>57</v>
      </c>
      <c r="B6" s="77">
        <v>225000</v>
      </c>
      <c r="C6" s="81">
        <f>64.09+31.94+1200+1114.14+1291.8+1291.8+1178.77+1259.51+1291.8+1291.8+1291.8+1291.8+1291.8+1291.8+1291.8+1291.8+1291.8+1265+1033.44+1146.47+1259.51+1289.22+1283.73+1283.73+1194.92+886.83+26.6+997.5+14.46+61.85+1897.54+1873.28+2083.24+2075.17+73.4+90.4+48.14+510.06-30+5+2204.35+2220.64+2054.42+2154.09+1683.16+1541.79+349.99</f>
        <v>51636.179999999993</v>
      </c>
      <c r="D6" s="78">
        <v>100363.82</v>
      </c>
      <c r="E6" s="79">
        <v>73000</v>
      </c>
    </row>
    <row r="7" spans="1:5" x14ac:dyDescent="0.25">
      <c r="A7" s="76" t="s">
        <v>38</v>
      </c>
      <c r="B7" s="77">
        <v>85000</v>
      </c>
      <c r="C7" s="77">
        <f>5000+5000+5000+5000+5000+5000+5000</f>
        <v>35000</v>
      </c>
      <c r="D7" s="78">
        <f t="shared" si="0"/>
        <v>50000</v>
      </c>
      <c r="E7" s="79">
        <v>0</v>
      </c>
    </row>
    <row r="8" spans="1:5" x14ac:dyDescent="0.25">
      <c r="A8" s="80" t="s">
        <v>10</v>
      </c>
      <c r="B8" s="77">
        <v>34000</v>
      </c>
      <c r="C8" s="77">
        <f>475+692+682+173+173+173+432.5+778.5+258+336</f>
        <v>4173</v>
      </c>
      <c r="D8" s="78">
        <f t="shared" si="0"/>
        <v>29827</v>
      </c>
      <c r="E8" s="79">
        <v>0</v>
      </c>
    </row>
    <row r="9" spans="1:5" x14ac:dyDescent="0.25">
      <c r="A9" s="76" t="s">
        <v>118</v>
      </c>
      <c r="B9" s="77">
        <v>500000</v>
      </c>
      <c r="C9" s="77">
        <f>5404.4+215.96+28.4+7.73+555.27+1569.41</f>
        <v>7781.1699999999983</v>
      </c>
      <c r="D9" s="78">
        <v>442218.83</v>
      </c>
      <c r="E9" s="79">
        <v>50000</v>
      </c>
    </row>
    <row r="10" spans="1:5" x14ac:dyDescent="0.25">
      <c r="A10" s="76" t="s">
        <v>6</v>
      </c>
      <c r="B10" s="77">
        <v>99234</v>
      </c>
      <c r="C10" s="77">
        <v>0</v>
      </c>
      <c r="D10" s="78">
        <f t="shared" si="0"/>
        <v>99234</v>
      </c>
      <c r="E10" s="79">
        <v>0</v>
      </c>
    </row>
    <row r="11" spans="1:5" x14ac:dyDescent="0.25">
      <c r="A11" s="76" t="s">
        <v>4</v>
      </c>
      <c r="B11" s="77">
        <v>24000</v>
      </c>
      <c r="C11" s="81">
        <f>2479+5031+363+363+4040.38</f>
        <v>12276.380000000001</v>
      </c>
      <c r="D11" s="78">
        <f t="shared" si="0"/>
        <v>11723.619999999999</v>
      </c>
      <c r="E11" s="79">
        <f>D11</f>
        <v>11723.619999999999</v>
      </c>
    </row>
    <row r="12" spans="1:5" ht="31.5" x14ac:dyDescent="0.25">
      <c r="A12" s="76" t="s">
        <v>103</v>
      </c>
      <c r="B12" s="77">
        <v>40500</v>
      </c>
      <c r="C12" s="77">
        <v>0</v>
      </c>
      <c r="D12" s="78">
        <f t="shared" si="0"/>
        <v>40500</v>
      </c>
      <c r="E12" s="79">
        <v>0</v>
      </c>
    </row>
    <row r="13" spans="1:5" x14ac:dyDescent="0.25">
      <c r="A13" s="76" t="s">
        <v>68</v>
      </c>
      <c r="B13" s="77">
        <v>40000</v>
      </c>
      <c r="C13" s="77">
        <f>5000+5000+4983.41+1436.98</f>
        <v>16420.39</v>
      </c>
      <c r="D13" s="78">
        <f t="shared" si="0"/>
        <v>23579.61</v>
      </c>
      <c r="E13" s="79">
        <v>23579.61</v>
      </c>
    </row>
    <row r="14" spans="1:5" x14ac:dyDescent="0.25">
      <c r="A14" s="76" t="s">
        <v>74</v>
      </c>
      <c r="B14" s="77">
        <v>65000</v>
      </c>
      <c r="C14" s="77">
        <f>15500+16782+10097</f>
        <v>42379</v>
      </c>
      <c r="D14" s="78">
        <f t="shared" si="0"/>
        <v>22621</v>
      </c>
      <c r="E14" s="79">
        <f>D14</f>
        <v>22621</v>
      </c>
    </row>
    <row r="15" spans="1:5" x14ac:dyDescent="0.25">
      <c r="A15" s="76" t="s">
        <v>73</v>
      </c>
      <c r="B15" s="77">
        <v>25000</v>
      </c>
      <c r="C15" s="77">
        <f>31.58+48.96+273.15+9.99+212.98+165.36+31+268.94+129.98+3.24+942.5+64.99-21.99-28.98+3589.34+10000</f>
        <v>15721.04</v>
      </c>
      <c r="D15" s="78">
        <f t="shared" si="0"/>
        <v>9278.9599999999991</v>
      </c>
      <c r="E15" s="79">
        <v>0</v>
      </c>
    </row>
    <row r="16" spans="1:5" x14ac:dyDescent="0.25">
      <c r="A16" s="82" t="s">
        <v>69</v>
      </c>
      <c r="B16" s="83">
        <v>40000</v>
      </c>
      <c r="C16" s="83">
        <v>0</v>
      </c>
      <c r="D16" s="84">
        <f t="shared" si="0"/>
        <v>40000</v>
      </c>
      <c r="E16" s="85">
        <v>40000</v>
      </c>
    </row>
    <row r="17" spans="1:5" x14ac:dyDescent="0.25">
      <c r="A17" s="65" t="s">
        <v>117</v>
      </c>
      <c r="B17" s="77">
        <f>SUM(B4:B16)</f>
        <v>1354234</v>
      </c>
      <c r="C17" s="77">
        <f>SUM(C4:C16)</f>
        <v>210228.31999999998</v>
      </c>
      <c r="D17" s="77">
        <f>SUM(D4:D16)</f>
        <v>1021005.6799999999</v>
      </c>
      <c r="E17" s="77">
        <f>SUM(E4:E16)</f>
        <v>220924.22999999998</v>
      </c>
    </row>
    <row r="18" spans="1:5" x14ac:dyDescent="0.25">
      <c r="A18" s="76"/>
      <c r="B18" s="77"/>
      <c r="C18" s="77"/>
      <c r="D18" s="78"/>
      <c r="E18" s="79"/>
    </row>
    <row r="19" spans="1:5" x14ac:dyDescent="0.25">
      <c r="A19" s="86" t="s">
        <v>100</v>
      </c>
      <c r="B19" s="77"/>
      <c r="C19" s="87"/>
      <c r="D19" s="78"/>
      <c r="E19" s="79"/>
    </row>
    <row r="20" spans="1:5" x14ac:dyDescent="0.25">
      <c r="A20" s="76" t="s">
        <v>104</v>
      </c>
      <c r="B20" s="77">
        <v>142675</v>
      </c>
      <c r="C20" s="78">
        <f>12174.23+37161.02+9684.06</f>
        <v>59019.31</v>
      </c>
      <c r="D20" s="78">
        <f>B20-C20</f>
        <v>83655.69</v>
      </c>
      <c r="E20" s="79"/>
    </row>
    <row r="21" spans="1:5" x14ac:dyDescent="0.25">
      <c r="A21" s="76"/>
      <c r="B21" s="77"/>
      <c r="C21" s="77"/>
      <c r="D21" s="78"/>
      <c r="E21" s="79"/>
    </row>
    <row r="22" spans="1:5" x14ac:dyDescent="0.25">
      <c r="A22" s="88" t="s">
        <v>106</v>
      </c>
      <c r="E22" s="79"/>
    </row>
    <row r="23" spans="1:5" x14ac:dyDescent="0.25">
      <c r="E23" s="79"/>
    </row>
    <row r="24" spans="1:5" s="63" customFormat="1" x14ac:dyDescent="0.25">
      <c r="A24" s="89" t="s">
        <v>122</v>
      </c>
      <c r="B24" s="90">
        <v>50000</v>
      </c>
      <c r="C24" s="91">
        <f>44541+471.84+4081+5459+1542.9+368+101.98+1307.1</f>
        <v>57872.82</v>
      </c>
      <c r="D24" s="92">
        <f>B24-C24</f>
        <v>-7872.82</v>
      </c>
      <c r="E24" s="93"/>
    </row>
    <row r="25" spans="1:5" ht="18" customHeight="1" x14ac:dyDescent="0.25">
      <c r="A25" s="89" t="s">
        <v>114</v>
      </c>
      <c r="B25" s="90">
        <v>106000</v>
      </c>
      <c r="C25" s="90">
        <v>26500</v>
      </c>
      <c r="E25" s="79"/>
    </row>
    <row r="26" spans="1:5" ht="18.75" customHeight="1" x14ac:dyDescent="0.25">
      <c r="A26" s="89" t="s">
        <v>114</v>
      </c>
      <c r="B26" s="77"/>
      <c r="C26" s="90">
        <v>26500</v>
      </c>
      <c r="D26" s="78"/>
      <c r="E26" s="79"/>
    </row>
    <row r="27" spans="1:5" ht="20.25" customHeight="1" x14ac:dyDescent="0.25">
      <c r="A27" s="89" t="s">
        <v>114</v>
      </c>
      <c r="B27" s="77"/>
      <c r="C27" s="90">
        <v>26500</v>
      </c>
      <c r="D27" s="78"/>
      <c r="E27" s="79"/>
    </row>
    <row r="28" spans="1:5" ht="19.5" customHeight="1" x14ac:dyDescent="0.25">
      <c r="A28" s="89" t="s">
        <v>114</v>
      </c>
      <c r="B28" s="77"/>
      <c r="C28" s="90">
        <v>26500</v>
      </c>
      <c r="D28" s="78"/>
      <c r="E28" s="79"/>
    </row>
    <row r="29" spans="1:5" s="63" customFormat="1" x14ac:dyDescent="0.25">
      <c r="A29" s="89" t="s">
        <v>120</v>
      </c>
      <c r="B29" s="90">
        <v>10000</v>
      </c>
      <c r="C29" s="90">
        <v>10000</v>
      </c>
      <c r="D29" s="92">
        <f t="shared" ref="D29:D34" si="1">B29-C29</f>
        <v>0</v>
      </c>
      <c r="E29" s="93"/>
    </row>
    <row r="30" spans="1:5" x14ac:dyDescent="0.25">
      <c r="A30" s="89" t="s">
        <v>110</v>
      </c>
      <c r="B30" s="90">
        <v>83330</v>
      </c>
      <c r="C30" s="90">
        <v>83330</v>
      </c>
      <c r="D30" s="92">
        <f t="shared" si="1"/>
        <v>0</v>
      </c>
      <c r="E30" s="79"/>
    </row>
    <row r="31" spans="1:5" x14ac:dyDescent="0.25">
      <c r="A31" s="89" t="s">
        <v>115</v>
      </c>
      <c r="B31" s="90">
        <v>64000</v>
      </c>
      <c r="C31" s="90">
        <f>46747.74+742.68+1225.35+1464.57+3902.58+71193.33-61276.25</f>
        <v>64000</v>
      </c>
      <c r="D31" s="92">
        <f t="shared" si="1"/>
        <v>0</v>
      </c>
      <c r="E31" s="79"/>
    </row>
    <row r="32" spans="1:5" x14ac:dyDescent="0.25">
      <c r="A32" s="89" t="s">
        <v>113</v>
      </c>
      <c r="B32" s="90">
        <v>34000</v>
      </c>
      <c r="C32" s="90">
        <f>13025+11163+9812</f>
        <v>34000</v>
      </c>
      <c r="D32" s="92">
        <f t="shared" si="1"/>
        <v>0</v>
      </c>
      <c r="E32" s="79"/>
    </row>
    <row r="33" spans="1:5" x14ac:dyDescent="0.25">
      <c r="A33" s="89" t="s">
        <v>112</v>
      </c>
      <c r="B33" s="90">
        <v>86050</v>
      </c>
      <c r="C33" s="94">
        <f>16983+9775+59292</f>
        <v>86050</v>
      </c>
      <c r="D33" s="92">
        <f t="shared" si="1"/>
        <v>0</v>
      </c>
      <c r="E33" s="79"/>
    </row>
    <row r="34" spans="1:5" x14ac:dyDescent="0.25">
      <c r="A34" s="89" t="s">
        <v>121</v>
      </c>
      <c r="B34" s="90">
        <v>301561</v>
      </c>
      <c r="C34" s="90">
        <f>105000+4450+2225+187660.5+2225+3690+4850+4850+5930</f>
        <v>320880.5</v>
      </c>
      <c r="D34" s="92">
        <f t="shared" si="1"/>
        <v>-19319.5</v>
      </c>
      <c r="E34" s="79"/>
    </row>
    <row r="35" spans="1:5" x14ac:dyDescent="0.25">
      <c r="A35" s="95" t="s">
        <v>111</v>
      </c>
      <c r="B35" s="96">
        <v>50000</v>
      </c>
      <c r="C35" s="96">
        <v>50000</v>
      </c>
      <c r="D35" s="97">
        <f t="shared" ref="D35" si="2">B35-C35</f>
        <v>0</v>
      </c>
      <c r="E35" s="79"/>
    </row>
    <row r="36" spans="1:5" x14ac:dyDescent="0.25">
      <c r="A36" s="67" t="s">
        <v>117</v>
      </c>
      <c r="B36" s="92">
        <f>SUM(B24:B35)</f>
        <v>784941</v>
      </c>
      <c r="C36" s="92">
        <f t="shared" ref="C36:D36" si="3">SUM(C24:C35)</f>
        <v>812133.32000000007</v>
      </c>
      <c r="D36" s="92">
        <f t="shared" si="3"/>
        <v>-27192.32</v>
      </c>
      <c r="E36" s="79"/>
    </row>
    <row r="37" spans="1:5" x14ac:dyDescent="0.25">
      <c r="A37" s="98"/>
      <c r="B37" s="78"/>
      <c r="C37" s="78"/>
      <c r="D37" s="78"/>
      <c r="E37" s="79"/>
    </row>
    <row r="38" spans="1:5" x14ac:dyDescent="0.25">
      <c r="A38" s="76" t="s">
        <v>17</v>
      </c>
      <c r="B38" s="99">
        <f>B17+B20+B36</f>
        <v>2281850</v>
      </c>
      <c r="C38" s="99">
        <f>C17+C20+C36</f>
        <v>1081380.9500000002</v>
      </c>
      <c r="D38" s="99">
        <f>D17+D20+D36</f>
        <v>1077469.0499999998</v>
      </c>
      <c r="E38" s="79">
        <f>B38-C38-D38</f>
        <v>123000</v>
      </c>
    </row>
    <row r="39" spans="1:5" x14ac:dyDescent="0.25">
      <c r="A39" s="76"/>
      <c r="B39" s="99"/>
      <c r="C39" s="78"/>
      <c r="D39" s="78"/>
      <c r="E39" s="79"/>
    </row>
    <row r="40" spans="1:5" x14ac:dyDescent="0.25">
      <c r="A40" s="73" t="s">
        <v>18</v>
      </c>
      <c r="B40" s="99">
        <v>2313838</v>
      </c>
      <c r="C40" s="81"/>
      <c r="E40" s="79"/>
    </row>
    <row r="41" spans="1:5" x14ac:dyDescent="0.25">
      <c r="E41" s="79"/>
    </row>
    <row r="42" spans="1:5" x14ac:dyDescent="0.25">
      <c r="B42" s="78">
        <f>B40-B38</f>
        <v>31988</v>
      </c>
      <c r="C42" s="78">
        <f>B40-C38</f>
        <v>1232457.0499999998</v>
      </c>
      <c r="D42" s="78"/>
      <c r="E42" s="78">
        <f>B42+E17</f>
        <v>252912.22999999998</v>
      </c>
    </row>
    <row r="43" spans="1:5" x14ac:dyDescent="0.25">
      <c r="B43" s="75" t="s">
        <v>119</v>
      </c>
      <c r="C43" s="75" t="s">
        <v>109</v>
      </c>
      <c r="E43" s="100" t="s">
        <v>125</v>
      </c>
    </row>
    <row r="44" spans="1:5" x14ac:dyDescent="0.25">
      <c r="E44" s="75" t="s">
        <v>126</v>
      </c>
    </row>
  </sheetData>
  <printOptions horizontalCentered="1" verticalCentered="1" gridLines="1"/>
  <pageMargins left="0.7" right="0.7" top="0.75" bottom="0.75" header="0.3" footer="0.3"/>
  <pageSetup scale="66" orientation="portrait" horizontalDpi="300" verticalDpi="300" r:id="rId1"/>
  <headerFooter>
    <oddFooter>&amp;R&amp;Z&amp;F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7A39-9441-4CD0-A335-8068D0D5A333}">
  <dimension ref="A1:E44"/>
  <sheetViews>
    <sheetView tabSelected="1" zoomScaleNormal="100" workbookViewId="0">
      <selection activeCell="A31" sqref="A31"/>
    </sheetView>
  </sheetViews>
  <sheetFormatPr defaultRowHeight="15.75" x14ac:dyDescent="0.25"/>
  <cols>
    <col min="1" max="1" width="68.85546875" style="73" customWidth="1"/>
    <col min="2" max="2" width="17.140625" style="75" customWidth="1"/>
    <col min="3" max="3" width="18.140625" style="75" customWidth="1"/>
    <col min="4" max="4" width="16.5703125" style="75" customWidth="1"/>
    <col min="5" max="5" width="16.7109375" style="68" customWidth="1"/>
  </cols>
  <sheetData>
    <row r="1" spans="1:5" ht="31.5" x14ac:dyDescent="0.25">
      <c r="A1" s="64" t="s">
        <v>21</v>
      </c>
      <c r="B1" s="65"/>
      <c r="C1" s="66" t="s">
        <v>127</v>
      </c>
      <c r="D1" s="67"/>
      <c r="E1" s="66" t="s">
        <v>127</v>
      </c>
    </row>
    <row r="2" spans="1:5" x14ac:dyDescent="0.25">
      <c r="A2" s="69" t="s">
        <v>99</v>
      </c>
      <c r="B2" s="70" t="s">
        <v>98</v>
      </c>
      <c r="C2" s="71" t="s">
        <v>26</v>
      </c>
      <c r="D2" s="72" t="s">
        <v>101</v>
      </c>
      <c r="E2" s="71" t="s">
        <v>123</v>
      </c>
    </row>
    <row r="3" spans="1:5" x14ac:dyDescent="0.25">
      <c r="B3" s="74"/>
    </row>
    <row r="4" spans="1:5" x14ac:dyDescent="0.25">
      <c r="A4" s="76" t="s">
        <v>107</v>
      </c>
      <c r="B4" s="77">
        <v>150000</v>
      </c>
      <c r="C4" s="77">
        <v>1895</v>
      </c>
      <c r="D4" s="78">
        <f t="shared" ref="D4:D16" si="0">B4-C4</f>
        <v>148105</v>
      </c>
      <c r="E4" s="78">
        <v>0</v>
      </c>
    </row>
    <row r="5" spans="1:5" x14ac:dyDescent="0.25">
      <c r="A5" s="73" t="s">
        <v>116</v>
      </c>
      <c r="B5" s="77">
        <v>26500</v>
      </c>
      <c r="C5" s="77">
        <v>24841.16</v>
      </c>
      <c r="D5" s="78">
        <f t="shared" si="0"/>
        <v>1658.8400000000001</v>
      </c>
      <c r="E5" s="78">
        <v>0</v>
      </c>
    </row>
    <row r="6" spans="1:5" x14ac:dyDescent="0.25">
      <c r="A6" s="80" t="s">
        <v>57</v>
      </c>
      <c r="B6" s="77">
        <v>225000</v>
      </c>
      <c r="C6" s="81">
        <f>64.09+31.94+1200+1114.14+1291.8+1291.8+1178.77+1259.51+1291.8+1291.8+1291.8+1291.8+1291.8+1291.8+1291.8+1291.8+1291.8+1265+1033.44+1146.47+1259.51+1289.22+1283.73+1283.73+1194.92+886.83+26.6+997.5+14.46+61.85+1897.54+1873.28+2083.24+2075.17+73.4+90.4+48.14+510.06-30+5+2204.35+2220.64+2054.42+2154.09+1683.16+1541.79+349.99+981.46</f>
        <v>52617.639999999992</v>
      </c>
      <c r="D6" s="78">
        <f>B6-C6</f>
        <v>172382.36000000002</v>
      </c>
      <c r="E6" s="78">
        <v>50000</v>
      </c>
    </row>
    <row r="7" spans="1:5" x14ac:dyDescent="0.25">
      <c r="A7" s="76" t="s">
        <v>38</v>
      </c>
      <c r="B7" s="77">
        <v>85000</v>
      </c>
      <c r="C7" s="77">
        <f>5000+5000+5000+5000+5000+5000+5000+5000</f>
        <v>40000</v>
      </c>
      <c r="D7" s="78">
        <f t="shared" si="0"/>
        <v>45000</v>
      </c>
      <c r="E7" s="78">
        <v>0</v>
      </c>
    </row>
    <row r="8" spans="1:5" x14ac:dyDescent="0.25">
      <c r="A8" s="80" t="s">
        <v>10</v>
      </c>
      <c r="B8" s="77">
        <v>34000</v>
      </c>
      <c r="C8" s="77">
        <f>475+692+682+173+173+173+432.5+778.5+258+336</f>
        <v>4173</v>
      </c>
      <c r="D8" s="78">
        <f t="shared" si="0"/>
        <v>29827</v>
      </c>
      <c r="E8" s="78">
        <v>0</v>
      </c>
    </row>
    <row r="9" spans="1:5" x14ac:dyDescent="0.25">
      <c r="A9" s="76" t="s">
        <v>118</v>
      </c>
      <c r="B9" s="77">
        <v>500000</v>
      </c>
      <c r="C9" s="77">
        <f>5404.4+215.96+28.4+7.73+555.27+1569.41</f>
        <v>7781.1699999999983</v>
      </c>
      <c r="D9" s="78">
        <f>B9-C9</f>
        <v>492218.83</v>
      </c>
      <c r="E9" s="78">
        <v>50000</v>
      </c>
    </row>
    <row r="10" spans="1:5" x14ac:dyDescent="0.25">
      <c r="A10" s="76" t="s">
        <v>6</v>
      </c>
      <c r="B10" s="77">
        <v>99234</v>
      </c>
      <c r="C10" s="77">
        <v>89310.6</v>
      </c>
      <c r="D10" s="78">
        <f t="shared" si="0"/>
        <v>9923.3999999999942</v>
      </c>
      <c r="E10" s="78">
        <v>0</v>
      </c>
    </row>
    <row r="11" spans="1:5" x14ac:dyDescent="0.25">
      <c r="A11" s="76" t="s">
        <v>4</v>
      </c>
      <c r="B11" s="77">
        <v>24000</v>
      </c>
      <c r="C11" s="81">
        <f>2479+5031+363+363+4040.38</f>
        <v>12276.380000000001</v>
      </c>
      <c r="D11" s="78">
        <f t="shared" si="0"/>
        <v>11723.619999999999</v>
      </c>
      <c r="E11" s="78">
        <f>D11</f>
        <v>11723.619999999999</v>
      </c>
    </row>
    <row r="12" spans="1:5" ht="31.5" x14ac:dyDescent="0.25">
      <c r="A12" s="76" t="s">
        <v>103</v>
      </c>
      <c r="B12" s="77">
        <v>40500</v>
      </c>
      <c r="C12" s="77">
        <v>0</v>
      </c>
      <c r="D12" s="78">
        <f t="shared" si="0"/>
        <v>40500</v>
      </c>
      <c r="E12" s="78">
        <v>0</v>
      </c>
    </row>
    <row r="13" spans="1:5" x14ac:dyDescent="0.25">
      <c r="A13" s="76" t="s">
        <v>68</v>
      </c>
      <c r="B13" s="77">
        <v>40000</v>
      </c>
      <c r="C13" s="77">
        <f>5000+5000+4983.41+1436.98</f>
        <v>16420.39</v>
      </c>
      <c r="D13" s="78">
        <f t="shared" si="0"/>
        <v>23579.61</v>
      </c>
      <c r="E13" s="78">
        <f>23579.61-3600</f>
        <v>19979.61</v>
      </c>
    </row>
    <row r="14" spans="1:5" x14ac:dyDescent="0.25">
      <c r="A14" s="76" t="s">
        <v>74</v>
      </c>
      <c r="B14" s="77">
        <v>65000</v>
      </c>
      <c r="C14" s="77">
        <f>15500+16782+10097</f>
        <v>42379</v>
      </c>
      <c r="D14" s="78">
        <f t="shared" si="0"/>
        <v>22621</v>
      </c>
      <c r="E14" s="78">
        <f>D14</f>
        <v>22621</v>
      </c>
    </row>
    <row r="15" spans="1:5" x14ac:dyDescent="0.25">
      <c r="A15" s="76" t="s">
        <v>73</v>
      </c>
      <c r="B15" s="77">
        <v>25000</v>
      </c>
      <c r="C15" s="77">
        <f>31.58+48.96+273.15+9.99+212.98+165.36+31+268.94+129.98+3.24+942.5+64.99-21.99-28.98+3589.34+10000</f>
        <v>15721.04</v>
      </c>
      <c r="D15" s="78">
        <f t="shared" si="0"/>
        <v>9278.9599999999991</v>
      </c>
      <c r="E15" s="78">
        <v>0</v>
      </c>
    </row>
    <row r="16" spans="1:5" x14ac:dyDescent="0.25">
      <c r="A16" s="82" t="s">
        <v>69</v>
      </c>
      <c r="B16" s="83">
        <v>40000</v>
      </c>
      <c r="C16" s="83">
        <v>0</v>
      </c>
      <c r="D16" s="84">
        <f t="shared" si="0"/>
        <v>40000</v>
      </c>
      <c r="E16" s="84">
        <v>40000</v>
      </c>
    </row>
    <row r="17" spans="1:5" x14ac:dyDescent="0.25">
      <c r="A17" s="65" t="s">
        <v>117</v>
      </c>
      <c r="B17" s="77">
        <f>SUM(B4:B16)</f>
        <v>1354234</v>
      </c>
      <c r="C17" s="77">
        <f>SUM(C4:C16)</f>
        <v>307415.37999999995</v>
      </c>
      <c r="D17" s="77">
        <f>SUM(D4:D16)</f>
        <v>1046818.62</v>
      </c>
      <c r="E17" s="77">
        <f>SUM(E4:E16)</f>
        <v>194324.22999999998</v>
      </c>
    </row>
    <row r="18" spans="1:5" x14ac:dyDescent="0.25">
      <c r="A18" s="76"/>
      <c r="B18" s="77"/>
      <c r="C18" s="77"/>
      <c r="D18" s="78"/>
      <c r="E18" s="79"/>
    </row>
    <row r="19" spans="1:5" x14ac:dyDescent="0.25">
      <c r="A19" s="86" t="s">
        <v>100</v>
      </c>
      <c r="B19" s="77"/>
      <c r="C19" s="87"/>
      <c r="D19" s="78"/>
      <c r="E19" s="79"/>
    </row>
    <row r="20" spans="1:5" x14ac:dyDescent="0.25">
      <c r="A20" s="76" t="s">
        <v>104</v>
      </c>
      <c r="B20" s="77">
        <v>142675</v>
      </c>
      <c r="C20" s="78">
        <f>12174.23+37161.02+9684.06</f>
        <v>59019.31</v>
      </c>
      <c r="D20" s="78">
        <f>B20-C20</f>
        <v>83655.69</v>
      </c>
      <c r="E20" s="79"/>
    </row>
    <row r="21" spans="1:5" x14ac:dyDescent="0.25">
      <c r="A21" s="76"/>
      <c r="B21" s="77"/>
      <c r="C21" s="77"/>
      <c r="D21" s="78"/>
      <c r="E21" s="79"/>
    </row>
    <row r="22" spans="1:5" x14ac:dyDescent="0.25">
      <c r="A22" s="88" t="s">
        <v>106</v>
      </c>
      <c r="E22" s="79"/>
    </row>
    <row r="23" spans="1:5" x14ac:dyDescent="0.25">
      <c r="E23" s="79"/>
    </row>
    <row r="24" spans="1:5" x14ac:dyDescent="0.25">
      <c r="A24" s="89" t="s">
        <v>122</v>
      </c>
      <c r="B24" s="90">
        <v>50000</v>
      </c>
      <c r="C24" s="91">
        <f>44541+471.84+4081+5459+1542.9+368+101.98+1307.1</f>
        <v>57872.82</v>
      </c>
      <c r="D24" s="92">
        <f>B24-C24</f>
        <v>-7872.82</v>
      </c>
      <c r="E24" s="93"/>
    </row>
    <row r="25" spans="1:5" ht="31.5" x14ac:dyDescent="0.25">
      <c r="A25" s="89" t="s">
        <v>114</v>
      </c>
      <c r="B25" s="90">
        <v>106000</v>
      </c>
      <c r="C25" s="90">
        <v>26500</v>
      </c>
      <c r="E25" s="79"/>
    </row>
    <row r="26" spans="1:5" ht="31.5" x14ac:dyDescent="0.25">
      <c r="A26" s="89" t="s">
        <v>114</v>
      </c>
      <c r="B26" s="77"/>
      <c r="C26" s="90">
        <v>26500</v>
      </c>
      <c r="D26" s="78"/>
      <c r="E26" s="79"/>
    </row>
    <row r="27" spans="1:5" ht="31.5" x14ac:dyDescent="0.25">
      <c r="A27" s="89" t="s">
        <v>114</v>
      </c>
      <c r="B27" s="77"/>
      <c r="C27" s="90">
        <v>26500</v>
      </c>
      <c r="D27" s="78"/>
      <c r="E27" s="79"/>
    </row>
    <row r="28" spans="1:5" ht="31.5" x14ac:dyDescent="0.25">
      <c r="A28" s="89" t="s">
        <v>114</v>
      </c>
      <c r="B28" s="77"/>
      <c r="C28" s="90">
        <v>26500</v>
      </c>
      <c r="D28" s="78"/>
      <c r="E28" s="79"/>
    </row>
    <row r="29" spans="1:5" x14ac:dyDescent="0.25">
      <c r="A29" s="89" t="s">
        <v>120</v>
      </c>
      <c r="B29" s="90">
        <v>10000</v>
      </c>
      <c r="C29" s="90">
        <v>10000</v>
      </c>
      <c r="D29" s="92">
        <f t="shared" ref="D29:D35" si="1">B29-C29</f>
        <v>0</v>
      </c>
      <c r="E29" s="93"/>
    </row>
    <row r="30" spans="1:5" x14ac:dyDescent="0.25">
      <c r="A30" s="89" t="s">
        <v>110</v>
      </c>
      <c r="B30" s="90">
        <v>83330</v>
      </c>
      <c r="C30" s="90">
        <v>83330</v>
      </c>
      <c r="D30" s="92">
        <f t="shared" si="1"/>
        <v>0</v>
      </c>
      <c r="E30" s="79"/>
    </row>
    <row r="31" spans="1:5" x14ac:dyDescent="0.25">
      <c r="A31" s="89" t="s">
        <v>115</v>
      </c>
      <c r="B31" s="90">
        <v>64000</v>
      </c>
      <c r="C31" s="90">
        <f>46747.74+742.68+1225.35+1464.57+3902.58+71193.33-61276.25</f>
        <v>64000</v>
      </c>
      <c r="D31" s="92">
        <f t="shared" si="1"/>
        <v>0</v>
      </c>
      <c r="E31" s="79"/>
    </row>
    <row r="32" spans="1:5" x14ac:dyDescent="0.25">
      <c r="A32" s="89" t="s">
        <v>113</v>
      </c>
      <c r="B32" s="90">
        <v>34000</v>
      </c>
      <c r="C32" s="90">
        <f>13025+11163+9812</f>
        <v>34000</v>
      </c>
      <c r="D32" s="92">
        <f t="shared" si="1"/>
        <v>0</v>
      </c>
      <c r="E32" s="79"/>
    </row>
    <row r="33" spans="1:5" x14ac:dyDescent="0.25">
      <c r="A33" s="89" t="s">
        <v>112</v>
      </c>
      <c r="B33" s="90">
        <v>86050</v>
      </c>
      <c r="C33" s="94">
        <f>16983+9775+59292</f>
        <v>86050</v>
      </c>
      <c r="D33" s="92">
        <f t="shared" si="1"/>
        <v>0</v>
      </c>
      <c r="E33" s="79"/>
    </row>
    <row r="34" spans="1:5" x14ac:dyDescent="0.25">
      <c r="A34" s="89" t="s">
        <v>121</v>
      </c>
      <c r="B34" s="90">
        <v>301561</v>
      </c>
      <c r="C34" s="90">
        <f>105000+4450+2225+187660.5+2225+3690+4850+4850+5930</f>
        <v>320880.5</v>
      </c>
      <c r="D34" s="92">
        <f t="shared" si="1"/>
        <v>-19319.5</v>
      </c>
      <c r="E34" s="79"/>
    </row>
    <row r="35" spans="1:5" x14ac:dyDescent="0.25">
      <c r="A35" s="95" t="s">
        <v>111</v>
      </c>
      <c r="B35" s="96">
        <v>50000</v>
      </c>
      <c r="C35" s="96">
        <v>50000</v>
      </c>
      <c r="D35" s="97">
        <f t="shared" si="1"/>
        <v>0</v>
      </c>
      <c r="E35" s="79"/>
    </row>
    <row r="36" spans="1:5" x14ac:dyDescent="0.25">
      <c r="A36" s="67" t="s">
        <v>117</v>
      </c>
      <c r="B36" s="92">
        <f>SUM(B24:B35)</f>
        <v>784941</v>
      </c>
      <c r="C36" s="92">
        <f t="shared" ref="C36:D36" si="2">SUM(C24:C35)</f>
        <v>812133.32000000007</v>
      </c>
      <c r="D36" s="92">
        <f t="shared" si="2"/>
        <v>-27192.32</v>
      </c>
      <c r="E36" s="79"/>
    </row>
    <row r="37" spans="1:5" x14ac:dyDescent="0.25">
      <c r="A37" s="98"/>
      <c r="B37" s="78"/>
      <c r="C37" s="78"/>
      <c r="D37" s="78"/>
      <c r="E37" s="79"/>
    </row>
    <row r="38" spans="1:5" x14ac:dyDescent="0.25">
      <c r="A38" s="76" t="s">
        <v>17</v>
      </c>
      <c r="B38" s="99">
        <f>B17+B20+B36</f>
        <v>2281850</v>
      </c>
      <c r="C38" s="99">
        <f>C17+C20+C36</f>
        <v>1178568.01</v>
      </c>
      <c r="D38" s="99">
        <f>D17+D20+D36</f>
        <v>1103281.99</v>
      </c>
      <c r="E38" s="79">
        <f>B38-C38-D38</f>
        <v>0</v>
      </c>
    </row>
    <row r="39" spans="1:5" x14ac:dyDescent="0.25">
      <c r="A39" s="76"/>
      <c r="B39" s="99"/>
      <c r="C39" s="78"/>
      <c r="D39" s="78"/>
      <c r="E39" s="79"/>
    </row>
    <row r="40" spans="1:5" x14ac:dyDescent="0.25">
      <c r="A40" s="73" t="s">
        <v>18</v>
      </c>
      <c r="B40" s="99">
        <v>2313838</v>
      </c>
      <c r="C40" s="81"/>
      <c r="E40" s="79"/>
    </row>
    <row r="41" spans="1:5" x14ac:dyDescent="0.25">
      <c r="E41" s="79"/>
    </row>
    <row r="42" spans="1:5" x14ac:dyDescent="0.25">
      <c r="B42" s="78">
        <f>B40-B38</f>
        <v>31988</v>
      </c>
      <c r="C42" s="78">
        <f>B40-C38</f>
        <v>1135269.99</v>
      </c>
      <c r="D42" s="78"/>
      <c r="E42" s="78">
        <f>B42+E17</f>
        <v>226312.22999999998</v>
      </c>
    </row>
    <row r="43" spans="1:5" x14ac:dyDescent="0.25">
      <c r="B43" s="75" t="s">
        <v>119</v>
      </c>
      <c r="C43" s="75" t="s">
        <v>109</v>
      </c>
      <c r="E43" s="100" t="s">
        <v>128</v>
      </c>
    </row>
    <row r="44" spans="1:5" x14ac:dyDescent="0.25">
      <c r="E44" s="75"/>
    </row>
  </sheetData>
  <printOptions horizontalCentered="1" verticalCentered="1" gridLines="1"/>
  <pageMargins left="0.7" right="0.7" top="0.75" bottom="0.75" header="0.3" footer="0.3"/>
  <pageSetup scale="66" orientation="portrait" horizontalDpi="300" verticalDpi="300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as of 6-12-24</vt:lpstr>
      <vt:lpstr>as of 8-30-24</vt:lpstr>
      <vt:lpstr>9-16-24</vt:lpstr>
      <vt:lpstr>Current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Kenyon</dc:creator>
  <cp:lastModifiedBy>Jeannine Harrington</cp:lastModifiedBy>
  <cp:lastPrinted>2024-10-03T13:50:15Z</cp:lastPrinted>
  <dcterms:created xsi:type="dcterms:W3CDTF">2022-05-18T15:51:59Z</dcterms:created>
  <dcterms:modified xsi:type="dcterms:W3CDTF">2024-10-03T17:28:38Z</dcterms:modified>
</cp:coreProperties>
</file>